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ggupta\OneDrive\Financial Modeling\Udemy - Complete Financial Analyst Course\Challenge2\"/>
    </mc:Choice>
  </mc:AlternateContent>
  <bookViews>
    <workbookView xWindow="0" yWindow="0" windowWidth="28800" windowHeight="12795" tabRatio="913" firstSheet="3" activeTab="11"/>
  </bookViews>
  <sheets>
    <sheet name="Case Study --&gt;" sheetId="15" state="hidden" r:id="rId1"/>
    <sheet name="Transactions" sheetId="1" state="hidden" r:id="rId2"/>
    <sheet name="Historical Data --&gt;" sheetId="13" state="hidden" r:id="rId3"/>
    <sheet name="Historical BS" sheetId="2" r:id="rId4"/>
    <sheet name="Historical P&amp;L" sheetId="12" r:id="rId5"/>
    <sheet name="2015 Data --&gt;" sheetId="14" state="hidden" r:id="rId6"/>
    <sheet name="Debits &amp; Credits" sheetId="3" r:id="rId7"/>
    <sheet name="T-accounts BS" sheetId="4" r:id="rId8"/>
    <sheet name="T-accounts P&amp;L" sheetId="10" r:id="rId9"/>
    <sheet name="Output --&gt;" sheetId="16" state="hidden" r:id="rId10"/>
    <sheet name="P&amp;L 2015" sheetId="6" r:id="rId11"/>
    <sheet name="BS 2015" sheetId="9" r:id="rId12"/>
    <sheet name="Financial Liabilities" sheetId="17" state="hidden" r:id="rId13"/>
  </sheets>
  <externalReferences>
    <externalReference r:id="rId14"/>
  </externalReferences>
  <definedNames>
    <definedName name="_xlnm._FilterDatabase" localSheetId="6" hidden="1">'Debits &amp; Credits'!$B$4:$L$30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 l="1"/>
  <c r="F13" i="9"/>
  <c r="F10" i="9"/>
  <c r="F9" i="9"/>
  <c r="F7" i="9"/>
  <c r="F6" i="9"/>
  <c r="F5" i="9"/>
  <c r="E23" i="9" s="1"/>
  <c r="C11" i="9"/>
  <c r="C7" i="9"/>
  <c r="C6" i="9"/>
  <c r="C5" i="9"/>
  <c r="F30" i="3"/>
  <c r="Q28" i="4"/>
  <c r="C18" i="6"/>
  <c r="C17" i="6"/>
  <c r="C15" i="6"/>
  <c r="C13" i="6"/>
  <c r="C12" i="6"/>
  <c r="C11" i="6"/>
  <c r="C10" i="6"/>
  <c r="C9" i="6"/>
  <c r="C7" i="6"/>
  <c r="C5" i="6"/>
  <c r="C4" i="6"/>
  <c r="E22" i="9" l="1"/>
  <c r="H20" i="10" l="1"/>
  <c r="I23" i="10" s="1"/>
  <c r="H30" i="4"/>
  <c r="C23" i="4"/>
  <c r="H12" i="4"/>
  <c r="C12" i="4"/>
  <c r="Q27" i="4"/>
  <c r="M28" i="4"/>
  <c r="Q19" i="4"/>
  <c r="M19" i="4"/>
  <c r="M18" i="4"/>
  <c r="Q7" i="4"/>
  <c r="H18" i="4"/>
  <c r="C18" i="4"/>
  <c r="H8" i="4"/>
  <c r="C8" i="4"/>
  <c r="F19" i="3"/>
  <c r="D8" i="10"/>
  <c r="I18" i="4" l="1"/>
  <c r="Q18" i="4"/>
  <c r="K5" i="3"/>
  <c r="F9" i="3"/>
  <c r="E8" i="17"/>
  <c r="J18" i="17" s="1"/>
  <c r="D8" i="17"/>
  <c r="E5" i="17"/>
  <c r="J17" i="17" l="1"/>
  <c r="C17" i="17"/>
  <c r="K17" i="17"/>
  <c r="E17" i="17"/>
  <c r="I17" i="17"/>
  <c r="C18" i="17"/>
  <c r="F7" i="17" s="1"/>
  <c r="G18" i="17"/>
  <c r="J7" i="17" s="1"/>
  <c r="K18" i="17"/>
  <c r="E7" i="17"/>
  <c r="F17" i="17"/>
  <c r="D18" i="17"/>
  <c r="G7" i="17" s="1"/>
  <c r="H18" i="17"/>
  <c r="L18" i="17"/>
  <c r="G17" i="17"/>
  <c r="E18" i="17"/>
  <c r="H7" i="17" s="1"/>
  <c r="I18" i="17"/>
  <c r="F5" i="17"/>
  <c r="C12" i="17"/>
  <c r="D17" i="17"/>
  <c r="H17" i="17"/>
  <c r="L17" i="17"/>
  <c r="F18" i="17"/>
  <c r="I7" i="17" s="1"/>
  <c r="F8" i="17" l="1"/>
  <c r="G5" i="17" s="1"/>
  <c r="G8" i="17" s="1"/>
  <c r="H5" i="17" s="1"/>
  <c r="H8" i="17" s="1"/>
  <c r="I5" i="17" s="1"/>
  <c r="I8" i="17" s="1"/>
  <c r="J5" i="17" s="1"/>
  <c r="J8" i="17" s="1"/>
  <c r="J16" i="17"/>
  <c r="F16" i="17"/>
  <c r="I16" i="17"/>
  <c r="E16" i="17"/>
  <c r="D16" i="17"/>
  <c r="K16" i="17"/>
  <c r="G16" i="17"/>
  <c r="C16" i="17"/>
  <c r="L16" i="17"/>
  <c r="H16" i="17"/>
  <c r="C19" i="17"/>
  <c r="D19" i="17" s="1"/>
  <c r="E19" i="17" s="1"/>
  <c r="F19" i="17" s="1"/>
  <c r="G19" i="17" s="1"/>
  <c r="H19" i="17" s="1"/>
  <c r="I19" i="17" s="1"/>
  <c r="J19" i="17" s="1"/>
  <c r="K19" i="17" s="1"/>
  <c r="L19" i="17" s="1"/>
  <c r="C8" i="17" l="1"/>
  <c r="D5" i="17" s="1"/>
  <c r="D7" i="17" s="1"/>
  <c r="P10" i="10" l="1"/>
  <c r="P16" i="10"/>
  <c r="Q13" i="10"/>
  <c r="Q16" i="10" s="1"/>
  <c r="H29" i="10"/>
  <c r="D29" i="10"/>
  <c r="H23" i="10"/>
  <c r="D23" i="10"/>
  <c r="L16" i="10"/>
  <c r="H16" i="10"/>
  <c r="D16" i="10"/>
  <c r="L10" i="10"/>
  <c r="H10" i="10"/>
  <c r="D10" i="10"/>
  <c r="H26" i="10"/>
  <c r="I29" i="10" s="1"/>
  <c r="D20" i="10"/>
  <c r="E23" i="10" s="1"/>
  <c r="H13" i="10"/>
  <c r="I16" i="10" s="1"/>
  <c r="D13" i="10"/>
  <c r="E16" i="10" s="1"/>
  <c r="L8" i="10"/>
  <c r="H7" i="10"/>
  <c r="I10" i="10" s="1"/>
  <c r="D7" i="10"/>
  <c r="E10" i="10" s="1"/>
  <c r="Q26" i="4"/>
  <c r="M31" i="4"/>
  <c r="P31" i="4"/>
  <c r="L31" i="4"/>
  <c r="L22" i="4"/>
  <c r="P22" i="4"/>
  <c r="P10" i="4"/>
  <c r="L10" i="4"/>
  <c r="M17" i="4"/>
  <c r="P7" i="4"/>
  <c r="Q10" i="4" s="1"/>
  <c r="M7" i="4"/>
  <c r="M10" i="4" s="1"/>
  <c r="I10" i="4"/>
  <c r="I26" i="4"/>
  <c r="I25" i="4"/>
  <c r="I24" i="4"/>
  <c r="I23" i="4"/>
  <c r="I22" i="4"/>
  <c r="I21" i="4"/>
  <c r="I20" i="4"/>
  <c r="I19" i="4"/>
  <c r="I17" i="4"/>
  <c r="H21" i="4"/>
  <c r="H17" i="4"/>
  <c r="D17" i="4"/>
  <c r="D21" i="4" s="1"/>
  <c r="C17" i="4"/>
  <c r="C21" i="4" s="1"/>
  <c r="D7" i="4"/>
  <c r="D10" i="4" s="1"/>
  <c r="C7" i="4"/>
  <c r="C10" i="4" s="1"/>
  <c r="K14" i="3"/>
  <c r="D26" i="10" s="1"/>
  <c r="E29" i="10" s="1"/>
  <c r="E14" i="3"/>
  <c r="H7" i="4" s="1"/>
  <c r="H10" i="4" s="1"/>
  <c r="I12" i="4" s="1"/>
  <c r="E13" i="3"/>
  <c r="H20" i="4" s="1"/>
  <c r="I28" i="4" l="1"/>
  <c r="L8" i="3"/>
  <c r="Q7" i="10" s="1"/>
  <c r="Q10" i="10" s="1"/>
  <c r="C6" i="6" s="1"/>
  <c r="M22" i="4"/>
  <c r="M10" i="10"/>
  <c r="D23" i="4"/>
  <c r="H28" i="4"/>
  <c r="D12" i="4"/>
  <c r="C31" i="6" l="1"/>
  <c r="E21" i="9"/>
  <c r="E24" i="9" s="1"/>
  <c r="I30" i="4"/>
  <c r="I34" i="4" s="1"/>
  <c r="C6" i="12"/>
  <c r="C8" i="12" s="1"/>
  <c r="C14" i="12" s="1"/>
  <c r="C16" i="12" s="1"/>
  <c r="C19" i="12" s="1"/>
  <c r="C21" i="12" s="1"/>
  <c r="C8" i="9" l="1"/>
  <c r="G10" i="2"/>
  <c r="G15" i="2" s="1"/>
  <c r="C15" i="2"/>
  <c r="D6" i="12" l="1"/>
  <c r="D8" i="12" l="1"/>
  <c r="D15" i="2"/>
  <c r="H10" i="2"/>
  <c r="H15" i="2" s="1"/>
  <c r="D14" i="12" l="1"/>
  <c r="D16" i="12" s="1"/>
  <c r="D19" i="12" s="1"/>
  <c r="D21" i="12" s="1"/>
  <c r="D18" i="2"/>
  <c r="C8" i="6"/>
  <c r="C14" i="6" s="1"/>
  <c r="C16" i="6" l="1"/>
  <c r="C19" i="6" l="1"/>
  <c r="C20" i="6" s="1"/>
  <c r="C24" i="6"/>
  <c r="C29" i="6"/>
  <c r="Q17" i="4"/>
  <c r="Q22" i="4" s="1"/>
  <c r="C21" i="6" l="1"/>
  <c r="C28" i="6" s="1"/>
  <c r="F8" i="9"/>
  <c r="K17" i="3"/>
  <c r="I42" i="3"/>
  <c r="Q31" i="4" l="1"/>
  <c r="E20" i="9"/>
  <c r="F11" i="9"/>
  <c r="R34" i="4"/>
  <c r="L13" i="10"/>
  <c r="M16" i="10" s="1"/>
  <c r="I41" i="3"/>
  <c r="I44" i="3" s="1"/>
  <c r="C26" i="6" l="1"/>
  <c r="F15" i="9"/>
  <c r="C15" i="9"/>
  <c r="C27" i="6" s="1"/>
  <c r="C25" i="6" l="1"/>
  <c r="C30" i="6"/>
  <c r="E25" i="9"/>
  <c r="C18" i="9"/>
</calcChain>
</file>

<file path=xl/sharedStrings.xml><?xml version="1.0" encoding="utf-8"?>
<sst xmlns="http://schemas.openxmlformats.org/spreadsheetml/2006/main" count="262" uniqueCount="137">
  <si>
    <t>Assets</t>
  </si>
  <si>
    <t>Liabilities</t>
  </si>
  <si>
    <t>T-Accounts</t>
  </si>
  <si>
    <t>Debits &amp; Credits</t>
  </si>
  <si>
    <t>Balance Sheet</t>
  </si>
  <si>
    <t>Income Statement</t>
  </si>
  <si>
    <t>Account</t>
  </si>
  <si>
    <t>Debit</t>
  </si>
  <si>
    <t>Credit</t>
  </si>
  <si>
    <t>Liabilities &amp; Equity</t>
  </si>
  <si>
    <t>Expenses</t>
  </si>
  <si>
    <t>Income</t>
  </si>
  <si>
    <t>Equity</t>
  </si>
  <si>
    <t>Cash</t>
  </si>
  <si>
    <t>Asset/Liability</t>
  </si>
  <si>
    <t>Income/Expense</t>
  </si>
  <si>
    <t>Employee Payables</t>
  </si>
  <si>
    <t>Raw Materials</t>
  </si>
  <si>
    <t>Fixed Assets</t>
  </si>
  <si>
    <t>Cost of Services</t>
  </si>
  <si>
    <t>Cost of Personnel</t>
  </si>
  <si>
    <t>Cost of Goods Sold</t>
  </si>
  <si>
    <t>Trade Payables</t>
  </si>
  <si>
    <t>Accounts Receivable</t>
  </si>
  <si>
    <t>Logistic Expenses</t>
  </si>
  <si>
    <t>Utility Expenses</t>
  </si>
  <si>
    <t>Debt</t>
  </si>
  <si>
    <t>Other Liabilities</t>
  </si>
  <si>
    <t>Income Taxes</t>
  </si>
  <si>
    <t>Interest Expense</t>
  </si>
  <si>
    <t>Provision</t>
  </si>
  <si>
    <t>Provision for Expenses</t>
  </si>
  <si>
    <t>Inventory</t>
  </si>
  <si>
    <t>FY15</t>
  </si>
  <si>
    <t>Cost of goods sold</t>
  </si>
  <si>
    <t>Gross Profit</t>
  </si>
  <si>
    <t>D&amp;A</t>
  </si>
  <si>
    <t>Net Income</t>
  </si>
  <si>
    <t>P&amp;L</t>
  </si>
  <si>
    <t>Earnings before Taxes</t>
  </si>
  <si>
    <t>in 000's</t>
  </si>
  <si>
    <t>Provisions</t>
  </si>
  <si>
    <t>EBITDA</t>
  </si>
  <si>
    <t>Taxes (15% of EBT)</t>
  </si>
  <si>
    <t>Total Assets</t>
  </si>
  <si>
    <t>Total Liabilities &amp; Equity</t>
  </si>
  <si>
    <t>Check</t>
  </si>
  <si>
    <t>BS 2014</t>
  </si>
  <si>
    <t>BS 2015</t>
  </si>
  <si>
    <t>As of 31st of December 2015</t>
  </si>
  <si>
    <t>Total Liabilities</t>
  </si>
  <si>
    <t>Transaction ID</t>
  </si>
  <si>
    <t>Other Revenue</t>
  </si>
  <si>
    <t>Revenue</t>
  </si>
  <si>
    <t>Total Debits</t>
  </si>
  <si>
    <t>Total Credits</t>
  </si>
  <si>
    <t>Difference</t>
  </si>
  <si>
    <t>Other Opex</t>
  </si>
  <si>
    <t>Other operating expenses</t>
  </si>
  <si>
    <t>Total Revenue</t>
  </si>
  <si>
    <t>EBIT</t>
  </si>
  <si>
    <t>FY14</t>
  </si>
  <si>
    <t>Historical Data --&gt;</t>
  </si>
  <si>
    <t>2015 Data --&gt;</t>
  </si>
  <si>
    <t>Case Study --&gt;</t>
  </si>
  <si>
    <t>Dec 31
2014</t>
  </si>
  <si>
    <t>Dec 31
2013</t>
  </si>
  <si>
    <t>FY13</t>
  </si>
  <si>
    <t>KPIs</t>
  </si>
  <si>
    <t>Output --&gt;</t>
  </si>
  <si>
    <t xml:space="preserve">Starting from the Balance Sheet at 31st December 2014, consider the accounting impact of the following transactions that occurred in 
</t>
  </si>
  <si>
    <t>2015 and complete the empty sheets “Debits &amp; Credits”, “T-accounts BS”, “T-accounts P&amp;L”, “BS 2015” and “P&amp;L 2015”</t>
  </si>
  <si>
    <t>Taxes</t>
  </si>
  <si>
    <t>1</t>
  </si>
  <si>
    <t>2</t>
  </si>
  <si>
    <t>PP&amp;E</t>
  </si>
  <si>
    <t>3</t>
  </si>
  <si>
    <t>4</t>
  </si>
  <si>
    <t>5</t>
  </si>
  <si>
    <t>Revenues</t>
  </si>
  <si>
    <t>6</t>
  </si>
  <si>
    <t>7</t>
  </si>
  <si>
    <t>8</t>
  </si>
  <si>
    <t>9</t>
  </si>
  <si>
    <t>10</t>
  </si>
  <si>
    <t>11</t>
  </si>
  <si>
    <t>Other Operating Expenses</t>
  </si>
  <si>
    <t>12</t>
  </si>
  <si>
    <t>13</t>
  </si>
  <si>
    <t>14</t>
  </si>
  <si>
    <t>15</t>
  </si>
  <si>
    <t>Accounts Receivables</t>
  </si>
  <si>
    <t>Financial Liabilities</t>
  </si>
  <si>
    <t>Forecast</t>
  </si>
  <si>
    <t>$ in MM</t>
  </si>
  <si>
    <t>Beginning Debt</t>
  </si>
  <si>
    <t>New Debt</t>
  </si>
  <si>
    <t>Principal Repayments</t>
  </si>
  <si>
    <t>Ending Debt</t>
  </si>
  <si>
    <t>Debt to be repaid (in years)</t>
  </si>
  <si>
    <t>I/R</t>
  </si>
  <si>
    <t>Annual Payment</t>
  </si>
  <si>
    <t>Period</t>
  </si>
  <si>
    <t>Payment</t>
  </si>
  <si>
    <t>Debt Repayment</t>
  </si>
  <si>
    <t>Residual Debt</t>
  </si>
  <si>
    <t>Provisitions</t>
  </si>
  <si>
    <t>Current Assets</t>
  </si>
  <si>
    <t>Current Liabilities</t>
  </si>
  <si>
    <t>Current Ratio</t>
  </si>
  <si>
    <t>Days Sales Outstanding</t>
  </si>
  <si>
    <t>Cash Conversion Cycle (Net Trading Cycle)</t>
  </si>
  <si>
    <t>Debt Ratio</t>
  </si>
  <si>
    <t>FY2015</t>
  </si>
  <si>
    <t>(Receivables/Sales)*365</t>
  </si>
  <si>
    <t>Days Payables Oustanding</t>
  </si>
  <si>
    <t>Days Inventory Outstanding</t>
  </si>
  <si>
    <t>(Inventory/COGS)*365</t>
  </si>
  <si>
    <t>(Payables/COGS)*365</t>
  </si>
  <si>
    <t>Total Liabilites/Assets</t>
  </si>
  <si>
    <t>DSO+DIO-DPO</t>
  </si>
  <si>
    <t>CA/CL</t>
  </si>
  <si>
    <t>Interest Coverage Ratio</t>
  </si>
  <si>
    <t>ROA</t>
  </si>
  <si>
    <t>ROE</t>
  </si>
  <si>
    <t>Leverage Ratio</t>
  </si>
  <si>
    <t>Operating Profit Margin</t>
  </si>
  <si>
    <t>Net Profit Margin</t>
  </si>
  <si>
    <t>Revenue Growth</t>
  </si>
  <si>
    <t>EBIT/I</t>
  </si>
  <si>
    <t>NI/Equity</t>
  </si>
  <si>
    <t>Assets/Equity</t>
  </si>
  <si>
    <t>Asset Turnover</t>
  </si>
  <si>
    <t>Sales/Assets</t>
  </si>
  <si>
    <t>NI/Sales</t>
  </si>
  <si>
    <t>EBIT/Sales</t>
  </si>
  <si>
    <t>EBIT/TA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</si>
</sst>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_-* #,##0.00\ _л_в_._-;\-* #,##0.00\ _л_в_._-;_-* &quot;-&quot;??\ _л_в_._-;_-@_-"/>
    <numFmt numFmtId="165" formatCode="#,##0.0_ ;\-#,##0.0\ "/>
    <numFmt numFmtId="166" formatCode="0.0"/>
    <numFmt numFmtId="167" formatCode="#,##0.0"/>
    <numFmt numFmtId="168" formatCode="#,##0_ ;\-#,##0\ "/>
    <numFmt numFmtId="169" formatCode="[$-409]d\-mmm\-yy;@"/>
    <numFmt numFmtId="170" formatCode="0.0%"/>
  </numFmts>
  <fonts count="3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  <charset val="204"/>
    </font>
    <font>
      <b/>
      <sz val="9"/>
      <color rgb="FF002060"/>
      <name val="Arial"/>
      <family val="2"/>
      <charset val="204"/>
    </font>
    <font>
      <sz val="9"/>
      <color rgb="FF002060"/>
      <name val="Arial"/>
      <family val="2"/>
      <charset val="204"/>
    </font>
    <font>
      <b/>
      <i/>
      <sz val="9"/>
      <color rgb="FF002060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8"/>
      <color rgb="FF00206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35"/>
      <color rgb="FF00206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  <charset val="204"/>
    </font>
    <font>
      <b/>
      <sz val="12"/>
      <color rgb="FF00206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15"/>
    <xf numFmtId="0" fontId="29" fillId="0" borderId="16">
      <alignment horizontal="left" indent="1"/>
    </xf>
    <xf numFmtId="0" fontId="25" fillId="3" borderId="6" applyAlignment="0">
      <alignment horizontal="left" indent="1"/>
    </xf>
    <xf numFmtId="43" fontId="3" fillId="0" borderId="0" applyFont="0" applyFill="0" applyBorder="0" applyAlignment="0" applyProtection="0"/>
    <xf numFmtId="0" fontId="29" fillId="0" borderId="6">
      <alignment horizontal="left" indent="1"/>
    </xf>
  </cellStyleXfs>
  <cellXfs count="1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0" fillId="2" borderId="0" xfId="0" applyFill="1"/>
    <xf numFmtId="0" fontId="5" fillId="2" borderId="0" xfId="0" applyFont="1" applyFill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/>
    <xf numFmtId="0" fontId="1" fillId="2" borderId="5" xfId="0" applyFont="1" applyFill="1" applyBorder="1"/>
    <xf numFmtId="0" fontId="6" fillId="2" borderId="4" xfId="0" applyFont="1" applyFill="1" applyBorder="1" applyAlignment="1">
      <alignment horizontal="right"/>
    </xf>
    <xf numFmtId="3" fontId="1" fillId="2" borderId="0" xfId="1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7" fontId="1" fillId="2" borderId="2" xfId="0" applyNumberFormat="1" applyFont="1" applyFill="1" applyBorder="1"/>
    <xf numFmtId="167" fontId="1" fillId="2" borderId="3" xfId="0" applyNumberFormat="1" applyFont="1" applyFill="1" applyBorder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168" fontId="1" fillId="2" borderId="2" xfId="1" applyNumberFormat="1" applyFont="1" applyFill="1" applyBorder="1" applyAlignment="1">
      <alignment horizontal="center"/>
    </xf>
    <xf numFmtId="168" fontId="1" fillId="2" borderId="0" xfId="1" applyNumberFormat="1" applyFont="1" applyFill="1" applyAlignment="1">
      <alignment horizontal="center"/>
    </xf>
    <xf numFmtId="168" fontId="1" fillId="2" borderId="3" xfId="1" applyNumberFormat="1" applyFont="1" applyFill="1" applyBorder="1" applyAlignment="1">
      <alignment horizontal="center"/>
    </xf>
    <xf numFmtId="168" fontId="1" fillId="2" borderId="0" xfId="1" applyNumberFormat="1" applyFont="1" applyFill="1"/>
    <xf numFmtId="168" fontId="1" fillId="2" borderId="3" xfId="1" applyNumberFormat="1" applyFont="1" applyFill="1" applyBorder="1"/>
    <xf numFmtId="1" fontId="1" fillId="2" borderId="0" xfId="0" applyNumberFormat="1" applyFont="1" applyFill="1"/>
    <xf numFmtId="1" fontId="1" fillId="2" borderId="3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8" fillId="2" borderId="0" xfId="2" applyFont="1" applyFill="1"/>
    <xf numFmtId="0" fontId="5" fillId="2" borderId="0" xfId="2" applyFont="1" applyFill="1"/>
    <xf numFmtId="0" fontId="9" fillId="2" borderId="0" xfId="2" applyFont="1" applyFill="1" applyBorder="1"/>
    <xf numFmtId="3" fontId="9" fillId="2" borderId="0" xfId="2" applyNumberFormat="1" applyFont="1" applyFill="1" applyBorder="1"/>
    <xf numFmtId="0" fontId="9" fillId="2" borderId="0" xfId="2" applyFont="1" applyFill="1"/>
    <xf numFmtId="166" fontId="9" fillId="2" borderId="0" xfId="3" applyNumberFormat="1" applyFont="1" applyFill="1" applyBorder="1" applyAlignment="1">
      <alignment horizontal="left"/>
    </xf>
    <xf numFmtId="166" fontId="9" fillId="2" borderId="0" xfId="2" applyNumberFormat="1" applyFont="1" applyFill="1" applyBorder="1"/>
    <xf numFmtId="166" fontId="9" fillId="2" borderId="0" xfId="2" applyNumberFormat="1" applyFont="1" applyFill="1"/>
    <xf numFmtId="3" fontId="1" fillId="2" borderId="0" xfId="0" applyNumberFormat="1" applyFont="1" applyFill="1" applyBorder="1"/>
    <xf numFmtId="0" fontId="11" fillId="2" borderId="4" xfId="0" applyFont="1" applyFill="1" applyBorder="1"/>
    <xf numFmtId="0" fontId="12" fillId="2" borderId="4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7" xfId="0" applyFont="1" applyFill="1" applyBorder="1"/>
    <xf numFmtId="3" fontId="11" fillId="2" borderId="7" xfId="0" applyNumberFormat="1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3" fontId="1" fillId="2" borderId="9" xfId="0" applyNumberFormat="1" applyFont="1" applyFill="1" applyBorder="1"/>
    <xf numFmtId="3" fontId="11" fillId="2" borderId="10" xfId="0" applyNumberFormat="1" applyFont="1" applyFill="1" applyBorder="1"/>
    <xf numFmtId="0" fontId="12" fillId="2" borderId="0" xfId="0" applyFont="1" applyFill="1"/>
    <xf numFmtId="3" fontId="12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4" borderId="0" xfId="0" applyFont="1" applyFill="1"/>
    <xf numFmtId="3" fontId="15" fillId="4" borderId="0" xfId="0" applyNumberFormat="1" applyFont="1" applyFill="1" applyAlignment="1">
      <alignment horizontal="right"/>
    </xf>
    <xf numFmtId="167" fontId="15" fillId="4" borderId="0" xfId="0" applyNumberFormat="1" applyFont="1" applyFill="1"/>
    <xf numFmtId="0" fontId="13" fillId="2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8" fontId="1" fillId="2" borderId="0" xfId="1" applyNumberFormat="1" applyFont="1" applyFill="1" applyBorder="1"/>
    <xf numFmtId="49" fontId="1" fillId="2" borderId="3" xfId="0" applyNumberFormat="1" applyFont="1" applyFill="1" applyBorder="1"/>
    <xf numFmtId="168" fontId="1" fillId="2" borderId="0" xfId="1" applyNumberFormat="1" applyFont="1" applyFill="1" applyBorder="1" applyAlignment="1">
      <alignment horizontal="right"/>
    </xf>
    <xf numFmtId="168" fontId="16" fillId="2" borderId="0" xfId="1" applyNumberFormat="1" applyFont="1" applyFill="1" applyBorder="1" applyAlignment="1"/>
    <xf numFmtId="168" fontId="16" fillId="2" borderId="0" xfId="1" applyNumberFormat="1" applyFont="1" applyFill="1" applyAlignment="1">
      <alignment horizontal="center"/>
    </xf>
    <xf numFmtId="167" fontId="1" fillId="2" borderId="0" xfId="0" applyNumberFormat="1" applyFont="1" applyFill="1" applyBorder="1"/>
    <xf numFmtId="3" fontId="1" fillId="2" borderId="6" xfId="0" applyNumberFormat="1" applyFont="1" applyFill="1" applyBorder="1"/>
    <xf numFmtId="1" fontId="1" fillId="2" borderId="0" xfId="0" applyNumberFormat="1" applyFont="1" applyFill="1" applyBorder="1"/>
    <xf numFmtId="1" fontId="1" fillId="2" borderId="3" xfId="0" applyNumberFormat="1" applyFont="1" applyFill="1" applyBorder="1" applyAlignment="1"/>
    <xf numFmtId="49" fontId="1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168" fontId="1" fillId="2" borderId="2" xfId="1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right"/>
    </xf>
    <xf numFmtId="168" fontId="11" fillId="2" borderId="7" xfId="0" applyNumberFormat="1" applyFont="1" applyFill="1" applyBorder="1"/>
    <xf numFmtId="168" fontId="1" fillId="2" borderId="0" xfId="1" applyNumberFormat="1" applyFont="1" applyFill="1" applyAlignment="1">
      <alignment horizontal="right"/>
    </xf>
    <xf numFmtId="168" fontId="1" fillId="2" borderId="3" xfId="1" applyNumberFormat="1" applyFont="1" applyFill="1" applyBorder="1" applyAlignment="1">
      <alignment horizontal="left"/>
    </xf>
    <xf numFmtId="165" fontId="1" fillId="2" borderId="3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0" xfId="1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49" fontId="11" fillId="2" borderId="0" xfId="0" applyNumberFormat="1" applyFont="1" applyFill="1"/>
    <xf numFmtId="3" fontId="16" fillId="3" borderId="0" xfId="0" applyNumberFormat="1" applyFont="1" applyFill="1"/>
    <xf numFmtId="49" fontId="18" fillId="2" borderId="0" xfId="0" applyNumberFormat="1" applyFont="1" applyFill="1"/>
    <xf numFmtId="3" fontId="18" fillId="2" borderId="0" xfId="0" applyNumberFormat="1" applyFont="1" applyFill="1"/>
    <xf numFmtId="0" fontId="1" fillId="2" borderId="0" xfId="0" applyFont="1" applyFill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7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Border="1" applyAlignment="1"/>
    <xf numFmtId="0" fontId="6" fillId="2" borderId="4" xfId="2" applyFont="1" applyFill="1" applyBorder="1" applyAlignment="1"/>
    <xf numFmtId="0" fontId="6" fillId="2" borderId="4" xfId="2" applyFont="1" applyFill="1" applyBorder="1" applyAlignment="1">
      <alignment horizontal="right"/>
    </xf>
    <xf numFmtId="0" fontId="11" fillId="2" borderId="7" xfId="2" applyFont="1" applyFill="1" applyBorder="1"/>
    <xf numFmtId="3" fontId="11" fillId="2" borderId="7" xfId="2" applyNumberFormat="1" applyFont="1" applyFill="1" applyBorder="1"/>
    <xf numFmtId="0" fontId="11" fillId="2" borderId="11" xfId="2" applyFont="1" applyFill="1" applyBorder="1"/>
    <xf numFmtId="3" fontId="11" fillId="2" borderId="11" xfId="2" applyNumberFormat="1" applyFont="1" applyFill="1" applyBorder="1"/>
    <xf numFmtId="0" fontId="19" fillId="2" borderId="0" xfId="0" applyFont="1" applyFill="1"/>
    <xf numFmtId="0" fontId="11" fillId="2" borderId="4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/>
    </xf>
    <xf numFmtId="3" fontId="11" fillId="2" borderId="7" xfId="0" applyNumberFormat="1" applyFont="1" applyFill="1" applyBorder="1"/>
    <xf numFmtId="3" fontId="13" fillId="2" borderId="9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3" fontId="13" fillId="2" borderId="9" xfId="1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11" fillId="2" borderId="14" xfId="0" applyFont="1" applyFill="1" applyBorder="1"/>
    <xf numFmtId="168" fontId="1" fillId="2" borderId="0" xfId="1" applyNumberFormat="1" applyFont="1" applyFill="1" applyBorder="1" applyAlignment="1">
      <alignment horizontal="left"/>
    </xf>
    <xf numFmtId="168" fontId="1" fillId="2" borderId="0" xfId="1" applyNumberFormat="1" applyFont="1" applyFill="1" applyBorder="1" applyAlignment="1"/>
    <xf numFmtId="168" fontId="16" fillId="2" borderId="0" xfId="1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left"/>
    </xf>
    <xf numFmtId="168" fontId="16" fillId="2" borderId="0" xfId="1" applyNumberFormat="1" applyFont="1" applyFill="1" applyBorder="1" applyAlignment="1">
      <alignment horizontal="right"/>
    </xf>
    <xf numFmtId="168" fontId="1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0" fillId="5" borderId="0" xfId="2" applyFont="1" applyFill="1"/>
    <xf numFmtId="0" fontId="15" fillId="5" borderId="0" xfId="0" applyFont="1" applyFill="1"/>
    <xf numFmtId="167" fontId="15" fillId="5" borderId="0" xfId="0" applyNumberFormat="1" applyFont="1" applyFill="1"/>
    <xf numFmtId="3" fontId="15" fillId="5" borderId="0" xfId="0" applyNumberFormat="1" applyFont="1" applyFill="1" applyAlignment="1">
      <alignment horizontal="right"/>
    </xf>
    <xf numFmtId="0" fontId="22" fillId="5" borderId="0" xfId="0" applyFont="1" applyFill="1"/>
    <xf numFmtId="3" fontId="22" fillId="5" borderId="0" xfId="0" applyNumberFormat="1" applyFont="1" applyFill="1"/>
    <xf numFmtId="3" fontId="22" fillId="5" borderId="0" xfId="0" applyNumberFormat="1" applyFont="1" applyFill="1" applyAlignment="1">
      <alignment horizontal="right"/>
    </xf>
    <xf numFmtId="0" fontId="23" fillId="5" borderId="0" xfId="0" applyFont="1" applyFill="1"/>
    <xf numFmtId="168" fontId="16" fillId="2" borderId="0" xfId="1" applyNumberFormat="1" applyFont="1" applyFill="1" applyBorder="1" applyAlignment="1">
      <alignment horizontal="left"/>
    </xf>
    <xf numFmtId="168" fontId="26" fillId="2" borderId="0" xfId="1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27" fillId="0" borderId="0" xfId="0" applyFont="1"/>
    <xf numFmtId="0" fontId="29" fillId="0" borderId="15" xfId="5"/>
    <xf numFmtId="169" fontId="29" fillId="0" borderId="15" xfId="5" applyNumberFormat="1"/>
    <xf numFmtId="169" fontId="30" fillId="0" borderId="15" xfId="5" applyNumberFormat="1" applyFont="1"/>
    <xf numFmtId="0" fontId="0" fillId="6" borderId="0" xfId="0" applyFill="1"/>
    <xf numFmtId="43" fontId="0" fillId="0" borderId="0" xfId="0" applyNumberFormat="1"/>
    <xf numFmtId="40" fontId="0" fillId="0" borderId="0" xfId="0" applyNumberFormat="1"/>
    <xf numFmtId="8" fontId="0" fillId="0" borderId="0" xfId="0" applyNumberFormat="1"/>
    <xf numFmtId="0" fontId="29" fillId="0" borderId="16" xfId="6">
      <alignment horizontal="left" indent="1"/>
    </xf>
    <xf numFmtId="43" fontId="29" fillId="0" borderId="16" xfId="6" applyNumberFormat="1">
      <alignment horizontal="left" indent="1"/>
    </xf>
    <xf numFmtId="9" fontId="0" fillId="0" borderId="0" xfId="0" applyNumberFormat="1"/>
    <xf numFmtId="0" fontId="0" fillId="0" borderId="1" xfId="0" applyBorder="1"/>
    <xf numFmtId="168" fontId="17" fillId="2" borderId="0" xfId="1" applyNumberFormat="1" applyFont="1" applyFill="1" applyBorder="1" applyAlignment="1">
      <alignment horizontal="center"/>
    </xf>
    <xf numFmtId="168" fontId="17" fillId="2" borderId="2" xfId="1" applyNumberFormat="1" applyFont="1" applyFill="1" applyBorder="1" applyAlignment="1">
      <alignment horizontal="center"/>
    </xf>
    <xf numFmtId="168" fontId="1" fillId="2" borderId="3" xfId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16" fillId="3" borderId="0" xfId="1" applyNumberFormat="1" applyFont="1" applyFill="1" applyBorder="1" applyAlignment="1">
      <alignment horizontal="left"/>
    </xf>
    <xf numFmtId="168" fontId="16" fillId="3" borderId="0" xfId="1" applyNumberFormat="1" applyFont="1" applyFill="1" applyAlignment="1"/>
    <xf numFmtId="0" fontId="31" fillId="2" borderId="18" xfId="0" applyFont="1" applyFill="1" applyBorder="1"/>
    <xf numFmtId="3" fontId="31" fillId="2" borderId="17" xfId="1" applyNumberFormat="1" applyFont="1" applyFill="1" applyBorder="1" applyAlignment="1">
      <alignment horizontal="right"/>
    </xf>
    <xf numFmtId="0" fontId="32" fillId="5" borderId="0" xfId="0" applyFont="1" applyFill="1"/>
    <xf numFmtId="0" fontId="33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2" fontId="22" fillId="5" borderId="0" xfId="0" applyNumberFormat="1" applyFont="1" applyFill="1" applyAlignment="1">
      <alignment horizontal="center"/>
    </xf>
    <xf numFmtId="2" fontId="32" fillId="5" borderId="0" xfId="0" applyNumberFormat="1" applyFont="1" applyFill="1" applyAlignment="1">
      <alignment horizontal="center"/>
    </xf>
    <xf numFmtId="10" fontId="32" fillId="5" borderId="0" xfId="4" applyNumberFormat="1" applyFont="1" applyFill="1" applyAlignment="1">
      <alignment horizontal="center"/>
    </xf>
    <xf numFmtId="0" fontId="32" fillId="5" borderId="0" xfId="0" applyFont="1" applyFill="1" applyAlignment="1">
      <alignment horizontal="left" indent="1"/>
    </xf>
    <xf numFmtId="0" fontId="32" fillId="5" borderId="0" xfId="0" applyFont="1" applyFill="1" applyAlignment="1">
      <alignment horizontal="left"/>
    </xf>
    <xf numFmtId="4" fontId="21" fillId="5" borderId="0" xfId="2" applyNumberFormat="1" applyFont="1" applyFill="1" applyBorder="1" applyAlignment="1">
      <alignment horizontal="center"/>
    </xf>
    <xf numFmtId="3" fontId="34" fillId="5" borderId="0" xfId="2" applyNumberFormat="1" applyFont="1" applyFill="1" applyBorder="1" applyAlignment="1">
      <alignment horizontal="center"/>
    </xf>
    <xf numFmtId="9" fontId="21" fillId="5" borderId="0" xfId="4" applyFont="1" applyFill="1" applyBorder="1" applyAlignment="1">
      <alignment horizontal="center"/>
    </xf>
    <xf numFmtId="166" fontId="21" fillId="5" borderId="0" xfId="3" applyNumberFormat="1" applyFont="1" applyFill="1" applyBorder="1" applyAlignment="1">
      <alignment horizontal="center"/>
    </xf>
    <xf numFmtId="9" fontId="32" fillId="5" borderId="0" xfId="4" applyFont="1" applyFill="1" applyAlignment="1">
      <alignment horizontal="center"/>
    </xf>
    <xf numFmtId="170" fontId="32" fillId="5" borderId="0" xfId="4" applyNumberFormat="1" applyFont="1" applyFill="1" applyAlignment="1">
      <alignment horizontal="center"/>
    </xf>
    <xf numFmtId="0" fontId="32" fillId="4" borderId="0" xfId="0" applyFont="1" applyFill="1"/>
    <xf numFmtId="164" fontId="32" fillId="4" borderId="0" xfId="1" applyFont="1" applyFill="1"/>
    <xf numFmtId="0" fontId="32" fillId="2" borderId="0" xfId="0" applyFont="1" applyFill="1"/>
    <xf numFmtId="164" fontId="32" fillId="2" borderId="0" xfId="1" applyFont="1" applyFill="1"/>
    <xf numFmtId="0" fontId="24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8" fontId="17" fillId="2" borderId="1" xfId="1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</cellXfs>
  <cellStyles count="10">
    <cellStyle name="Comma" xfId="1" builtinId="3"/>
    <cellStyle name="Comma 2" xfId="3"/>
    <cellStyle name="Comma 3" xfId="8"/>
    <cellStyle name="EBITDA" xfId="7"/>
    <cellStyle name="Header" xfId="5"/>
    <cellStyle name="Net Income" xfId="6"/>
    <cellStyle name="Normal" xfId="0" builtinId="0"/>
    <cellStyle name="Normal 2" xfId="2"/>
    <cellStyle name="Percent" xfId="4" builtinId="5"/>
    <cellStyle name="Sub totals" xfId="9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</dxf>
    <dxf>
      <border outline="0">
        <bottom style="medium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</dxf>
    <dxf>
      <border outline="0">
        <bottom style="medium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"/>
        <family val="2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66675</xdr:rowOff>
    </xdr:from>
    <xdr:to>
      <xdr:col>8</xdr:col>
      <xdr:colOff>424366</xdr:colOff>
      <xdr:row>22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23875"/>
          <a:ext cx="5101141" cy="333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5</xdr:row>
      <xdr:rowOff>42335</xdr:rowOff>
    </xdr:from>
    <xdr:to>
      <xdr:col>16</xdr:col>
      <xdr:colOff>47626</xdr:colOff>
      <xdr:row>22</xdr:row>
      <xdr:rowOff>72095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068" y="994835"/>
          <a:ext cx="8330141" cy="3268260"/>
        </a:xfrm>
        <a:prstGeom prst="rect">
          <a:avLst/>
        </a:prstGeom>
      </xdr:spPr>
    </xdr:pic>
    <xdr:clientData/>
  </xdr:twoCellAnchor>
  <xdr:twoCellAnchor editAs="oneCell">
    <xdr:from>
      <xdr:col>2</xdr:col>
      <xdr:colOff>518584</xdr:colOff>
      <xdr:row>38</xdr:row>
      <xdr:rowOff>146046</xdr:rowOff>
    </xdr:from>
    <xdr:to>
      <xdr:col>16</xdr:col>
      <xdr:colOff>116418</xdr:colOff>
      <xdr:row>55</xdr:row>
      <xdr:rowOff>135234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1" y="7385046"/>
          <a:ext cx="8413750" cy="322768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476252</xdr:colOff>
      <xdr:row>55</xdr:row>
      <xdr:rowOff>103708</xdr:rowOff>
    </xdr:from>
    <xdr:to>
      <xdr:col>16</xdr:col>
      <xdr:colOff>115846</xdr:colOff>
      <xdr:row>68</xdr:row>
      <xdr:rowOff>188383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9" y="10581208"/>
          <a:ext cx="8455510" cy="2561175"/>
        </a:xfrm>
        <a:prstGeom prst="rect">
          <a:avLst/>
        </a:prstGeom>
      </xdr:spPr>
    </xdr:pic>
    <xdr:clientData/>
  </xdr:twoCellAnchor>
  <xdr:twoCellAnchor editAs="oneCell">
    <xdr:from>
      <xdr:col>16</xdr:col>
      <xdr:colOff>412751</xdr:colOff>
      <xdr:row>11</xdr:row>
      <xdr:rowOff>188384</xdr:rowOff>
    </xdr:from>
    <xdr:to>
      <xdr:col>19</xdr:col>
      <xdr:colOff>571780</xdr:colOff>
      <xdr:row>15</xdr:row>
      <xdr:rowOff>150385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34" y="2283884"/>
          <a:ext cx="2000529" cy="7240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533358</xdr:colOff>
      <xdr:row>21</xdr:row>
      <xdr:rowOff>179918</xdr:rowOff>
    </xdr:from>
    <xdr:to>
      <xdr:col>16</xdr:col>
      <xdr:colOff>47626</xdr:colOff>
      <xdr:row>38</xdr:row>
      <xdr:rowOff>181743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1AE540-7DBB-47BD-B52C-CE0AB4F2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025" y="4180418"/>
          <a:ext cx="8330184" cy="3240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upta\OneDrive\Financial%20Modeling\Udemy%20-%20Complete%20Financial%20Analyst%20Course\Forecasting%20And%20Budgeting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BS 2014"/>
      <sheetName val="BS 2015"/>
      <sheetName val="BS 2016"/>
      <sheetName val="Exercise --&gt;"/>
      <sheetName val="1.1"/>
      <sheetName val="P&amp;L"/>
      <sheetName val="BS"/>
      <sheetName val="FA Roll Forward PPE"/>
      <sheetName val="Financial Liabilities"/>
      <sheetName val="Equity Schedule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C14">
            <v>615.79999999999995</v>
          </cell>
          <cell r="D14">
            <v>610.4</v>
          </cell>
          <cell r="E14">
            <v>605</v>
          </cell>
        </row>
      </sheetData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2" name="Table2" displayName="Table2" ref="B4:F30" totalsRowShown="0" headerRowDxfId="13" headerRowBorderDxfId="12">
  <autoFilter ref="B4:F30"/>
  <tableColumns count="5">
    <tableColumn id="1" name="Transaction ID" dataDxfId="11"/>
    <tableColumn id="2" name="Account" dataDxfId="10"/>
    <tableColumn id="3" name="Asset/Liability" dataDxfId="9"/>
    <tableColumn id="4" name="Debit" dataDxfId="8"/>
    <tableColumn id="5" name="Credit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H4:L17" totalsRowShown="0" headerRowDxfId="6" headerRowBorderDxfId="5">
  <autoFilter ref="H4:L17"/>
  <tableColumns count="5">
    <tableColumn id="1" name="Transaction ID" dataDxfId="4"/>
    <tableColumn id="2" name="Account" dataDxfId="3"/>
    <tableColumn id="3" name="Income/Expense" dataDxfId="2"/>
    <tableColumn id="4" name="Debit" dataDxfId="1" dataCellStyle="Comma"/>
    <tableColumn id="5" name="Credit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J13"/>
  <sheetViews>
    <sheetView workbookViewId="0">
      <selection activeCell="O13" sqref="O13"/>
    </sheetView>
  </sheetViews>
  <sheetFormatPr defaultRowHeight="12" x14ac:dyDescent="0.2"/>
  <cols>
    <col min="1" max="16384" width="9.140625" style="1"/>
  </cols>
  <sheetData>
    <row r="13" spans="10:10" ht="44.25" x14ac:dyDescent="0.6">
      <c r="J13" s="102" t="s">
        <v>64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2"/>
  <sheetViews>
    <sheetView workbookViewId="0">
      <selection activeCell="C12" sqref="C12"/>
    </sheetView>
  </sheetViews>
  <sheetFormatPr defaultRowHeight="12" x14ac:dyDescent="0.2"/>
  <cols>
    <col min="1" max="1" width="2" style="1" customWidth="1"/>
    <col min="2" max="16384" width="9.140625" style="1"/>
  </cols>
  <sheetData>
    <row r="12" spans="2:2" ht="44.25" x14ac:dyDescent="0.6">
      <c r="B12" s="102" t="s">
        <v>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workbookViewId="0">
      <selection activeCell="H14" sqref="H14"/>
    </sheetView>
  </sheetViews>
  <sheetFormatPr defaultRowHeight="12" x14ac:dyDescent="0.2"/>
  <cols>
    <col min="1" max="1" width="2" style="29" customWidth="1"/>
    <col min="2" max="2" width="21.85546875" style="29" customWidth="1"/>
    <col min="3" max="3" width="12.28515625" style="29" bestFit="1" customWidth="1"/>
    <col min="4" max="16384" width="9.140625" style="29"/>
  </cols>
  <sheetData>
    <row r="1" spans="2:17" ht="15.75" x14ac:dyDescent="0.25">
      <c r="B1" s="28" t="s">
        <v>38</v>
      </c>
    </row>
    <row r="3" spans="2:17" ht="12.75" thickBot="1" x14ac:dyDescent="0.25">
      <c r="B3" s="96" t="s">
        <v>40</v>
      </c>
      <c r="C3" s="97" t="s">
        <v>33</v>
      </c>
    </row>
    <row r="4" spans="2:17" x14ac:dyDescent="0.2">
      <c r="B4" s="30" t="s">
        <v>53</v>
      </c>
      <c r="C4" s="31">
        <f>'T-accounts P&amp;L'!Q10/1000</f>
        <v>524449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B5" s="30" t="s">
        <v>52</v>
      </c>
      <c r="C5" s="31">
        <f>'T-accounts P&amp;L'!Q16/1000</f>
        <v>2000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2:17" x14ac:dyDescent="0.2">
      <c r="B6" s="100" t="s">
        <v>59</v>
      </c>
      <c r="C6" s="101">
        <f>+SUM(C4:C5)</f>
        <v>526449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2:17" x14ac:dyDescent="0.2">
      <c r="B7" s="30" t="s">
        <v>34</v>
      </c>
      <c r="C7" s="31">
        <f>-'T-accounts P&amp;L'!E10/1000</f>
        <v>-270450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x14ac:dyDescent="0.2">
      <c r="B8" s="100" t="s">
        <v>35</v>
      </c>
      <c r="C8" s="101">
        <f>SUM(C6:C7)</f>
        <v>255999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x14ac:dyDescent="0.2">
      <c r="B9" s="32" t="s">
        <v>20</v>
      </c>
      <c r="C9" s="31">
        <f>-'T-accounts P&amp;L'!E16/1000</f>
        <v>-12500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17" x14ac:dyDescent="0.2">
      <c r="B10" s="32" t="s">
        <v>19</v>
      </c>
      <c r="C10" s="31">
        <f>-'T-accounts P&amp;L'!E23/1000</f>
        <v>-5500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x14ac:dyDescent="0.2">
      <c r="B11" s="32" t="s">
        <v>24</v>
      </c>
      <c r="C11" s="31">
        <f>-'T-accounts P&amp;L'!I16/1000</f>
        <v>-35000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2:17" x14ac:dyDescent="0.2">
      <c r="B12" s="32" t="s">
        <v>25</v>
      </c>
      <c r="C12" s="31">
        <f>-'T-accounts P&amp;L'!I10/1000</f>
        <v>-10000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2:17" x14ac:dyDescent="0.2">
      <c r="B13" s="32" t="s">
        <v>58</v>
      </c>
      <c r="C13" s="31">
        <f>-'T-accounts P&amp;L'!M10/1000</f>
        <v>-35000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2:17" x14ac:dyDescent="0.2">
      <c r="B14" s="100" t="s">
        <v>42</v>
      </c>
      <c r="C14" s="101">
        <f>SUM(C8:C13)</f>
        <v>157999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2:17" x14ac:dyDescent="0.2">
      <c r="B15" s="30" t="s">
        <v>36</v>
      </c>
      <c r="C15" s="31">
        <f>-'T-accounts P&amp;L'!I29/1000</f>
        <v>-20000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17" x14ac:dyDescent="0.2">
      <c r="B16" s="100" t="s">
        <v>60</v>
      </c>
      <c r="C16" s="101">
        <f>SUM(C14:C15)</f>
        <v>137999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x14ac:dyDescent="0.2">
      <c r="B17" s="32" t="s">
        <v>29</v>
      </c>
      <c r="C17" s="31">
        <f>-'T-accounts P&amp;L'!E29/1000</f>
        <v>-5600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x14ac:dyDescent="0.2">
      <c r="B18" s="30" t="s">
        <v>41</v>
      </c>
      <c r="C18" s="31">
        <f>-'T-accounts P&amp;L'!I23/1000</f>
        <v>-3000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7" x14ac:dyDescent="0.2">
      <c r="B19" s="100" t="s">
        <v>39</v>
      </c>
      <c r="C19" s="101">
        <f>SUM(C16:C18)</f>
        <v>129399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x14ac:dyDescent="0.2">
      <c r="B20" s="30" t="s">
        <v>43</v>
      </c>
      <c r="C20" s="31">
        <f>-15%*C19</f>
        <v>-19409.849999999999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2.75" thickBot="1" x14ac:dyDescent="0.25">
      <c r="B21" s="98" t="s">
        <v>37</v>
      </c>
      <c r="C21" s="99">
        <f>SUM(C19:C20)</f>
        <v>109989.15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x14ac:dyDescent="0.2"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x14ac:dyDescent="0.2">
      <c r="B23" s="121" t="s">
        <v>68</v>
      </c>
      <c r="C23" s="163" t="s">
        <v>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7" x14ac:dyDescent="0.2">
      <c r="B24" s="153" t="s">
        <v>122</v>
      </c>
      <c r="C24" s="162">
        <f>-C16/C17</f>
        <v>24.642678571428572</v>
      </c>
      <c r="D24" s="32" t="s">
        <v>129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2:17" x14ac:dyDescent="0.2">
      <c r="B25" s="153" t="s">
        <v>132</v>
      </c>
      <c r="C25" s="164">
        <f>C6/'BS 2015'!C15</f>
        <v>1.2375416961487922</v>
      </c>
      <c r="D25" s="32" t="s">
        <v>133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2:17" x14ac:dyDescent="0.2">
      <c r="B26" s="153" t="s">
        <v>124</v>
      </c>
      <c r="C26" s="164">
        <f>C21/'BS 2015'!F13</f>
        <v>0.47823625592772528</v>
      </c>
      <c r="D26" s="32" t="s">
        <v>130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x14ac:dyDescent="0.2">
      <c r="B27" s="160" t="s">
        <v>125</v>
      </c>
      <c r="C27" s="165">
        <f>'BS 2015'!C15/'BS 2015'!F13</f>
        <v>1.8496481247050134</v>
      </c>
      <c r="D27" s="32" t="s">
        <v>131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x14ac:dyDescent="0.2">
      <c r="B28" s="160" t="s">
        <v>127</v>
      </c>
      <c r="C28" s="166">
        <f>C21/C6</f>
        <v>0.20892650570140697</v>
      </c>
      <c r="D28" s="32" t="s">
        <v>134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x14ac:dyDescent="0.2">
      <c r="B29" s="161" t="s">
        <v>126</v>
      </c>
      <c r="C29" s="166">
        <f>C16/C6</f>
        <v>0.26213175445294795</v>
      </c>
      <c r="D29" s="32" t="s">
        <v>135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x14ac:dyDescent="0.2">
      <c r="B30" s="161" t="s">
        <v>123</v>
      </c>
      <c r="C30" s="167">
        <f>C16/'BS 2015'!C15</f>
        <v>0.32439897602015988</v>
      </c>
      <c r="D30" s="32" t="s">
        <v>136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2">
      <c r="B31" s="153" t="s">
        <v>128</v>
      </c>
      <c r="C31" s="167">
        <f>'P&amp;L 2015'!C6/'Historical P&amp;L'!D6-1</f>
        <v>0.15008933302274774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2">
      <c r="B32" s="32"/>
      <c r="C32" s="35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5" x14ac:dyDescent="0.2">
      <c r="B33" s="168" t="s">
        <v>46</v>
      </c>
      <c r="C33" s="169">
        <f>C28*C27*C25-C26</f>
        <v>0</v>
      </c>
      <c r="D33" s="170"/>
      <c r="E33" s="171"/>
    </row>
    <row r="34" spans="2:5" x14ac:dyDescent="0.2">
      <c r="B34" s="32"/>
      <c r="C34" s="35"/>
    </row>
    <row r="35" spans="2:5" x14ac:dyDescent="0.2">
      <c r="B35" s="32"/>
      <c r="C35" s="35"/>
    </row>
    <row r="36" spans="2:5" x14ac:dyDescent="0.2">
      <c r="B36" s="32"/>
      <c r="C36" s="32"/>
    </row>
    <row r="37" spans="2:5" x14ac:dyDescent="0.2">
      <c r="B37" s="32"/>
      <c r="C37" s="32"/>
    </row>
    <row r="38" spans="2:5" x14ac:dyDescent="0.2">
      <c r="B38" s="32"/>
      <c r="C38" s="32"/>
    </row>
    <row r="39" spans="2:5" x14ac:dyDescent="0.2">
      <c r="B39" s="32"/>
      <c r="C39" s="32"/>
    </row>
    <row r="40" spans="2:5" x14ac:dyDescent="0.2">
      <c r="B40" s="32"/>
      <c r="C40" s="32"/>
    </row>
    <row r="41" spans="2:5" x14ac:dyDescent="0.2">
      <c r="B41" s="32"/>
      <c r="C41" s="3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G34" sqref="G34"/>
    </sheetView>
  </sheetViews>
  <sheetFormatPr defaultRowHeight="12" outlineLevelRow="1" x14ac:dyDescent="0.2"/>
  <cols>
    <col min="1" max="1" width="2" style="1" customWidth="1"/>
    <col min="2" max="2" width="19.85546875" style="1" customWidth="1"/>
    <col min="3" max="3" width="13.5703125" style="1" customWidth="1"/>
    <col min="4" max="4" width="1.5703125" style="1" customWidth="1"/>
    <col min="5" max="5" width="20.42578125" style="1" bestFit="1" customWidth="1"/>
    <col min="6" max="6" width="15.7109375" style="1" bestFit="1" customWidth="1"/>
    <col min="7" max="7" width="1.5703125" style="1" customWidth="1"/>
    <col min="8" max="16384" width="9.140625" style="1"/>
  </cols>
  <sheetData>
    <row r="1" spans="2:6" ht="15.75" x14ac:dyDescent="0.25">
      <c r="B1" s="2" t="s">
        <v>48</v>
      </c>
    </row>
    <row r="3" spans="2:6" x14ac:dyDescent="0.2">
      <c r="B3" s="180" t="s">
        <v>49</v>
      </c>
      <c r="C3" s="180"/>
      <c r="D3" s="180"/>
      <c r="E3" s="180"/>
      <c r="F3" s="180"/>
    </row>
    <row r="4" spans="2:6" ht="12.75" thickBot="1" x14ac:dyDescent="0.25">
      <c r="B4" s="37" t="s">
        <v>0</v>
      </c>
      <c r="C4" s="38"/>
      <c r="D4" s="38"/>
      <c r="E4" s="38"/>
      <c r="F4" s="39" t="s">
        <v>1</v>
      </c>
    </row>
    <row r="5" spans="2:6" x14ac:dyDescent="0.2">
      <c r="B5" s="1" t="s">
        <v>13</v>
      </c>
      <c r="C5" s="42">
        <f>'T-accounts BS'!I30/1000</f>
        <v>147914</v>
      </c>
      <c r="E5" s="1" t="s">
        <v>22</v>
      </c>
      <c r="F5" s="11">
        <f>'T-accounts BS'!M22/1000</f>
        <v>30500</v>
      </c>
    </row>
    <row r="6" spans="2:6" x14ac:dyDescent="0.2">
      <c r="B6" s="1" t="s">
        <v>32</v>
      </c>
      <c r="C6" s="43">
        <f>'T-accounts BS'!D23/1000</f>
        <v>34000</v>
      </c>
      <c r="E6" s="1" t="s">
        <v>16</v>
      </c>
      <c r="F6" s="11">
        <f>'T-accounts BS'!M10/1000</f>
        <v>2500</v>
      </c>
    </row>
    <row r="7" spans="2:6" x14ac:dyDescent="0.2">
      <c r="B7" s="1" t="s">
        <v>23</v>
      </c>
      <c r="C7" s="43">
        <f>'T-accounts BS'!I12/1000</f>
        <v>33485</v>
      </c>
      <c r="E7" s="1" t="s">
        <v>27</v>
      </c>
      <c r="F7" s="11">
        <f>'T-accounts BS'!Q22/1000</f>
        <v>39409.85</v>
      </c>
    </row>
    <row r="8" spans="2:6" ht="12.75" thickBot="1" x14ac:dyDescent="0.25">
      <c r="B8" s="151" t="s">
        <v>107</v>
      </c>
      <c r="C8" s="152">
        <f>SUM(C5:C7)</f>
        <v>215399</v>
      </c>
      <c r="E8" s="151" t="s">
        <v>108</v>
      </c>
      <c r="F8" s="152">
        <f>SUM(F5:F7)</f>
        <v>72409.850000000006</v>
      </c>
    </row>
    <row r="9" spans="2:6" ht="12.75" thickTop="1" x14ac:dyDescent="0.2">
      <c r="C9" s="43"/>
      <c r="E9" s="1" t="s">
        <v>30</v>
      </c>
      <c r="F9" s="11">
        <f>'T-accounts BS'!M31/1000</f>
        <v>3000</v>
      </c>
    </row>
    <row r="10" spans="2:6" x14ac:dyDescent="0.2">
      <c r="C10" s="43"/>
      <c r="E10" s="1" t="s">
        <v>26</v>
      </c>
      <c r="F10" s="11">
        <f>'T-accounts BS'!Q10/1000</f>
        <v>120000</v>
      </c>
    </row>
    <row r="11" spans="2:6" x14ac:dyDescent="0.2">
      <c r="B11" s="1" t="s">
        <v>18</v>
      </c>
      <c r="C11" s="43">
        <f>'T-accounts BS'!D12/1000</f>
        <v>210000</v>
      </c>
      <c r="E11" s="52" t="s">
        <v>1</v>
      </c>
      <c r="F11" s="53">
        <f>SUM(F8:F10)</f>
        <v>195409.85</v>
      </c>
    </row>
    <row r="12" spans="2:6" x14ac:dyDescent="0.2">
      <c r="C12" s="44"/>
      <c r="E12" s="46"/>
      <c r="F12" s="47"/>
    </row>
    <row r="13" spans="2:6" x14ac:dyDescent="0.2">
      <c r="C13" s="44"/>
      <c r="E13" s="52" t="s">
        <v>12</v>
      </c>
      <c r="F13" s="54">
        <f>'T-accounts BS'!Q31/1000</f>
        <v>229989.15</v>
      </c>
    </row>
    <row r="14" spans="2:6" x14ac:dyDescent="0.2">
      <c r="C14" s="44"/>
      <c r="F14" s="12"/>
    </row>
    <row r="15" spans="2:6" ht="12.75" thickBot="1" x14ac:dyDescent="0.25">
      <c r="B15" s="40" t="s">
        <v>44</v>
      </c>
      <c r="C15" s="45">
        <f>SUM(C11,C5:C7)</f>
        <v>425399</v>
      </c>
      <c r="D15" s="40"/>
      <c r="E15" s="40" t="s">
        <v>45</v>
      </c>
      <c r="F15" s="41">
        <f>SUM(F13,F11)</f>
        <v>425399</v>
      </c>
    </row>
    <row r="16" spans="2:6" x14ac:dyDescent="0.2">
      <c r="C16" s="36"/>
      <c r="D16" s="14"/>
      <c r="F16" s="12"/>
    </row>
    <row r="17" spans="2:9" x14ac:dyDescent="0.2">
      <c r="B17" s="128" t="s">
        <v>68</v>
      </c>
      <c r="C17" s="126"/>
      <c r="D17" s="125"/>
      <c r="E17" s="154" t="s">
        <v>113</v>
      </c>
      <c r="F17" s="127"/>
    </row>
    <row r="18" spans="2:9" s="48" customFormat="1" ht="10.5" hidden="1" outlineLevel="1" x14ac:dyDescent="0.15">
      <c r="B18" s="122" t="s">
        <v>46</v>
      </c>
      <c r="C18" s="123">
        <f>C15-F15</f>
        <v>0</v>
      </c>
      <c r="D18" s="122"/>
      <c r="E18" s="155"/>
      <c r="F18" s="124"/>
    </row>
    <row r="19" spans="2:9" ht="15" collapsed="1" x14ac:dyDescent="0.25">
      <c r="B19" s="125"/>
      <c r="C19" s="126"/>
      <c r="D19" s="125"/>
      <c r="E19" s="156"/>
      <c r="F19" s="125"/>
      <c r="I19" s="4"/>
    </row>
    <row r="20" spans="2:9" ht="15" x14ac:dyDescent="0.25">
      <c r="B20" s="153" t="s">
        <v>109</v>
      </c>
      <c r="C20" s="125"/>
      <c r="D20" s="125"/>
      <c r="E20" s="157">
        <f>C8/F8</f>
        <v>2.9747195996124836</v>
      </c>
      <c r="F20" s="125"/>
      <c r="H20" s="1" t="s">
        <v>121</v>
      </c>
      <c r="I20" s="4"/>
    </row>
    <row r="21" spans="2:9" ht="15" x14ac:dyDescent="0.25">
      <c r="B21" s="153" t="s">
        <v>110</v>
      </c>
      <c r="C21" s="125"/>
      <c r="D21" s="125"/>
      <c r="E21" s="157">
        <f>(C7/'P&amp;L 2015'!C6)*365</f>
        <v>23.215971537603831</v>
      </c>
      <c r="F21" s="125"/>
      <c r="H21" s="1" t="s">
        <v>114</v>
      </c>
      <c r="I21" s="4"/>
    </row>
    <row r="22" spans="2:9" ht="15" x14ac:dyDescent="0.25">
      <c r="B22" s="153" t="s">
        <v>116</v>
      </c>
      <c r="C22" s="125"/>
      <c r="D22" s="125"/>
      <c r="E22" s="157">
        <f>-(C6/'P&amp;L 2015'!$C$7)*365</f>
        <v>45.886485487151042</v>
      </c>
      <c r="F22" s="125"/>
      <c r="H22" s="1" t="s">
        <v>117</v>
      </c>
      <c r="I22" s="4"/>
    </row>
    <row r="23" spans="2:9" ht="15" x14ac:dyDescent="0.25">
      <c r="B23" s="153" t="s">
        <v>115</v>
      </c>
      <c r="C23" s="125"/>
      <c r="D23" s="125"/>
      <c r="E23" s="157">
        <f>-(F5/'P&amp;L 2015'!$C$7)*365</f>
        <v>41.162876687003148</v>
      </c>
      <c r="F23" s="125"/>
      <c r="H23" s="1" t="s">
        <v>118</v>
      </c>
      <c r="I23" s="4"/>
    </row>
    <row r="24" spans="2:9" ht="15" x14ac:dyDescent="0.25">
      <c r="B24" s="153" t="s">
        <v>111</v>
      </c>
      <c r="C24" s="153"/>
      <c r="D24" s="153"/>
      <c r="E24" s="158">
        <f>E21+E22-E23</f>
        <v>27.939580337751721</v>
      </c>
      <c r="F24" s="153"/>
      <c r="H24" s="1" t="s">
        <v>120</v>
      </c>
      <c r="I24" s="4"/>
    </row>
    <row r="25" spans="2:9" ht="15" x14ac:dyDescent="0.25">
      <c r="B25" s="153" t="s">
        <v>112</v>
      </c>
      <c r="C25" s="153"/>
      <c r="D25" s="153"/>
      <c r="E25" s="159">
        <f>F11/C15</f>
        <v>0.45935662754261297</v>
      </c>
      <c r="F25" s="153"/>
      <c r="H25" s="1" t="s">
        <v>119</v>
      </c>
      <c r="I25" s="4"/>
    </row>
    <row r="26" spans="2:9" ht="15" x14ac:dyDescent="0.25">
      <c r="I26" s="4"/>
    </row>
    <row r="27" spans="2:9" ht="15" x14ac:dyDescent="0.25">
      <c r="I27" s="4"/>
    </row>
    <row r="28" spans="2:9" ht="15" x14ac:dyDescent="0.25">
      <c r="I28" s="4"/>
    </row>
    <row r="29" spans="2:9" ht="15" x14ac:dyDescent="0.25">
      <c r="I29" s="4"/>
    </row>
    <row r="30" spans="2:9" ht="15" x14ac:dyDescent="0.25">
      <c r="I30" s="4"/>
    </row>
    <row r="31" spans="2:9" ht="15" x14ac:dyDescent="0.25">
      <c r="I31" s="4"/>
    </row>
    <row r="32" spans="2:9" ht="15" x14ac:dyDescent="0.25">
      <c r="I32" s="4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H12" sqref="H12"/>
    </sheetView>
  </sheetViews>
  <sheetFormatPr defaultRowHeight="15" x14ac:dyDescent="0.25"/>
  <cols>
    <col min="1" max="1" width="2" customWidth="1"/>
    <col min="2" max="2" width="21.5703125" customWidth="1"/>
    <col min="3" max="3" width="9.7109375" bestFit="1" customWidth="1"/>
    <col min="4" max="5" width="10.28515625" bestFit="1" customWidth="1"/>
    <col min="6" max="10" width="13.5703125" bestFit="1" customWidth="1"/>
  </cols>
  <sheetData>
    <row r="1" spans="1:12" ht="15.75" x14ac:dyDescent="0.25">
      <c r="B1" s="132" t="s">
        <v>92</v>
      </c>
    </row>
    <row r="3" spans="1:12" x14ac:dyDescent="0.25">
      <c r="F3" s="181" t="s">
        <v>93</v>
      </c>
      <c r="G3" s="181"/>
      <c r="H3" s="181"/>
      <c r="I3" s="181"/>
      <c r="J3" s="181"/>
    </row>
    <row r="4" spans="1:12" ht="15.75" thickBot="1" x14ac:dyDescent="0.3">
      <c r="B4" s="133" t="s">
        <v>94</v>
      </c>
      <c r="C4" s="134">
        <v>42004</v>
      </c>
      <c r="D4" s="134">
        <v>42369</v>
      </c>
      <c r="E4" s="134">
        <v>42735</v>
      </c>
      <c r="F4" s="135">
        <v>43100</v>
      </c>
      <c r="G4" s="135">
        <v>43465</v>
      </c>
      <c r="H4" s="135">
        <v>43830</v>
      </c>
      <c r="I4" s="135">
        <v>44196</v>
      </c>
      <c r="J4" s="135">
        <v>44561</v>
      </c>
    </row>
    <row r="5" spans="1:12" x14ac:dyDescent="0.25">
      <c r="B5" t="s">
        <v>95</v>
      </c>
      <c r="C5" s="136"/>
      <c r="D5" s="137">
        <f>C8</f>
        <v>615.79999999999995</v>
      </c>
      <c r="E5" s="137">
        <f>D8</f>
        <v>610.4</v>
      </c>
      <c r="F5" s="137">
        <f t="shared" ref="F5:J5" si="0">E8</f>
        <v>605</v>
      </c>
      <c r="G5" s="137">
        <f t="shared" si="0"/>
        <v>565.17884560503455</v>
      </c>
      <c r="H5" s="137">
        <f t="shared" si="0"/>
        <v>521.77378731452222</v>
      </c>
      <c r="I5" s="137">
        <f t="shared" si="0"/>
        <v>474.4622737778638</v>
      </c>
      <c r="J5" s="137">
        <f t="shared" si="0"/>
        <v>422.89272402290612</v>
      </c>
    </row>
    <row r="6" spans="1:12" x14ac:dyDescent="0.25">
      <c r="B6" t="s">
        <v>96</v>
      </c>
      <c r="C6" s="136"/>
      <c r="D6" s="138">
        <v>0</v>
      </c>
      <c r="E6" s="138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</row>
    <row r="7" spans="1:12" x14ac:dyDescent="0.25">
      <c r="B7" t="s">
        <v>97</v>
      </c>
      <c r="C7" s="136"/>
      <c r="D7" s="137">
        <f>D8-D5</f>
        <v>-5.3999999999999773</v>
      </c>
      <c r="E7" s="137">
        <f t="shared" ref="E7" si="1">E8-E5</f>
        <v>-5.3999999999999773</v>
      </c>
      <c r="F7" s="139">
        <f>C18</f>
        <v>-39.82115439496544</v>
      </c>
      <c r="G7" s="139">
        <f t="shared" ref="G7:J7" si="2">D18</f>
        <v>-43.405058290512336</v>
      </c>
      <c r="H7" s="139">
        <f t="shared" si="2"/>
        <v>-47.311513536658445</v>
      </c>
      <c r="I7" s="139">
        <f t="shared" si="2"/>
        <v>-51.569549754957698</v>
      </c>
      <c r="J7" s="139">
        <f t="shared" si="2"/>
        <v>-56.210809232903898</v>
      </c>
    </row>
    <row r="8" spans="1:12" ht="15.75" thickBot="1" x14ac:dyDescent="0.3">
      <c r="B8" s="140" t="s">
        <v>98</v>
      </c>
      <c r="C8" s="141">
        <f>[1]BS!C14</f>
        <v>615.79999999999995</v>
      </c>
      <c r="D8" s="141">
        <f>[1]BS!D14</f>
        <v>610.4</v>
      </c>
      <c r="E8" s="141">
        <f>[1]BS!E14</f>
        <v>605</v>
      </c>
      <c r="F8" s="141">
        <f>F5+F7</f>
        <v>565.17884560503455</v>
      </c>
      <c r="G8" s="141">
        <f t="shared" ref="G8:J8" si="3">G5+G7</f>
        <v>521.77378731452222</v>
      </c>
      <c r="H8" s="141">
        <f t="shared" si="3"/>
        <v>474.4622737778638</v>
      </c>
      <c r="I8" s="141">
        <f t="shared" si="3"/>
        <v>422.89272402290612</v>
      </c>
      <c r="J8" s="141">
        <f t="shared" si="3"/>
        <v>366.68191479000222</v>
      </c>
    </row>
    <row r="10" spans="1:12" x14ac:dyDescent="0.25">
      <c r="B10" t="s">
        <v>99</v>
      </c>
      <c r="C10">
        <v>10</v>
      </c>
    </row>
    <row r="11" spans="1:12" x14ac:dyDescent="0.25">
      <c r="B11" t="s">
        <v>100</v>
      </c>
      <c r="C11" s="142">
        <v>0.09</v>
      </c>
    </row>
    <row r="12" spans="1:12" x14ac:dyDescent="0.25">
      <c r="B12" t="s">
        <v>101</v>
      </c>
      <c r="C12" s="139">
        <f>PMT(C11,C10,E8)</f>
        <v>-94.271154394965436</v>
      </c>
    </row>
    <row r="15" spans="1:12" x14ac:dyDescent="0.25">
      <c r="A15" t="s">
        <v>102</v>
      </c>
      <c r="B15" s="143"/>
      <c r="C15" s="143">
        <v>1</v>
      </c>
      <c r="D15" s="143">
        <v>2</v>
      </c>
      <c r="E15" s="143">
        <v>3</v>
      </c>
      <c r="F15" s="143">
        <v>4</v>
      </c>
      <c r="G15" s="143">
        <v>5</v>
      </c>
      <c r="H15" s="143">
        <v>6</v>
      </c>
      <c r="I15" s="143">
        <v>7</v>
      </c>
      <c r="J15" s="143">
        <v>8</v>
      </c>
      <c r="K15" s="143">
        <v>9</v>
      </c>
      <c r="L15" s="143">
        <v>10</v>
      </c>
    </row>
    <row r="16" spans="1:12" x14ac:dyDescent="0.25">
      <c r="B16" t="s">
        <v>103</v>
      </c>
      <c r="C16" s="139">
        <f>$C$12</f>
        <v>-94.271154394965436</v>
      </c>
      <c r="D16" s="139">
        <f t="shared" ref="D16:L16" si="4">$C$12</f>
        <v>-94.271154394965436</v>
      </c>
      <c r="E16" s="139">
        <f t="shared" si="4"/>
        <v>-94.271154394965436</v>
      </c>
      <c r="F16" s="139">
        <f t="shared" si="4"/>
        <v>-94.271154394965436</v>
      </c>
      <c r="G16" s="139">
        <f t="shared" si="4"/>
        <v>-94.271154394965436</v>
      </c>
      <c r="H16" s="139">
        <f t="shared" si="4"/>
        <v>-94.271154394965436</v>
      </c>
      <c r="I16" s="139">
        <f t="shared" si="4"/>
        <v>-94.271154394965436</v>
      </c>
      <c r="J16" s="139">
        <f t="shared" si="4"/>
        <v>-94.271154394965436</v>
      </c>
      <c r="K16" s="139">
        <f t="shared" si="4"/>
        <v>-94.271154394965436</v>
      </c>
      <c r="L16" s="139">
        <f t="shared" si="4"/>
        <v>-94.271154394965436</v>
      </c>
    </row>
    <row r="17" spans="2:13" x14ac:dyDescent="0.25">
      <c r="B17" t="s">
        <v>29</v>
      </c>
      <c r="C17" s="139">
        <f>IPMT($C$11,C$15,$C$10,$E$8,0)</f>
        <v>-54.449999999999996</v>
      </c>
      <c r="D17" s="139">
        <f t="shared" ref="D17:L17" si="5">IPMT($C$11,D$15,$C$10,$E$8,0)</f>
        <v>-50.866096104453099</v>
      </c>
      <c r="E17" s="139">
        <f t="shared" si="5"/>
        <v>-46.959640858306997</v>
      </c>
      <c r="F17" s="139">
        <f t="shared" si="5"/>
        <v>-42.701604640007737</v>
      </c>
      <c r="G17" s="139">
        <f t="shared" si="5"/>
        <v>-38.060345162061552</v>
      </c>
      <c r="H17" s="139">
        <f t="shared" si="5"/>
        <v>-33.001372331100185</v>
      </c>
      <c r="I17" s="139">
        <f t="shared" si="5"/>
        <v>-27.487091945352311</v>
      </c>
      <c r="J17" s="139">
        <f t="shared" si="5"/>
        <v>-21.476526324887132</v>
      </c>
      <c r="K17" s="139">
        <f t="shared" si="5"/>
        <v>-14.925009798580085</v>
      </c>
      <c r="L17" s="139">
        <f t="shared" si="5"/>
        <v>-7.783856784905403</v>
      </c>
      <c r="M17" s="139"/>
    </row>
    <row r="18" spans="2:13" x14ac:dyDescent="0.25">
      <c r="B18" t="s">
        <v>104</v>
      </c>
      <c r="C18" s="139">
        <f>PPMT($C$11,C$15,$C$10,$E$8,0)</f>
        <v>-39.82115439496544</v>
      </c>
      <c r="D18" s="139">
        <f t="shared" ref="D18:L18" si="6">PPMT($C$11,D$15,$C$10,$E$8,0)</f>
        <v>-43.405058290512336</v>
      </c>
      <c r="E18" s="139">
        <f t="shared" si="6"/>
        <v>-47.311513536658445</v>
      </c>
      <c r="F18" s="139">
        <f t="shared" si="6"/>
        <v>-51.569549754957698</v>
      </c>
      <c r="G18" s="139">
        <f t="shared" si="6"/>
        <v>-56.210809232903898</v>
      </c>
      <c r="H18" s="139">
        <f t="shared" si="6"/>
        <v>-61.269782063865243</v>
      </c>
      <c r="I18" s="139">
        <f t="shared" si="6"/>
        <v>-66.784062449613117</v>
      </c>
      <c r="J18" s="139">
        <f t="shared" si="6"/>
        <v>-72.794628070078289</v>
      </c>
      <c r="K18" s="139">
        <f t="shared" si="6"/>
        <v>-79.346144596385344</v>
      </c>
      <c r="L18" s="139">
        <f t="shared" si="6"/>
        <v>-86.487297610060025</v>
      </c>
    </row>
    <row r="19" spans="2:13" x14ac:dyDescent="0.25">
      <c r="B19" t="s">
        <v>105</v>
      </c>
      <c r="C19" s="137">
        <f>E8+C18</f>
        <v>565.17884560503455</v>
      </c>
      <c r="D19" s="137">
        <f>C19+D18</f>
        <v>521.77378731452222</v>
      </c>
      <c r="E19" s="137">
        <f t="shared" ref="E19:L19" si="7">D19+E18</f>
        <v>474.4622737778638</v>
      </c>
      <c r="F19" s="137">
        <f t="shared" si="7"/>
        <v>422.89272402290612</v>
      </c>
      <c r="G19" s="137">
        <f t="shared" si="7"/>
        <v>366.68191479000222</v>
      </c>
      <c r="H19" s="137">
        <f t="shared" si="7"/>
        <v>305.41213272613697</v>
      </c>
      <c r="I19" s="137">
        <f t="shared" si="7"/>
        <v>238.62807027652386</v>
      </c>
      <c r="J19" s="137">
        <f t="shared" si="7"/>
        <v>165.83344220644557</v>
      </c>
      <c r="K19" s="137">
        <f t="shared" si="7"/>
        <v>86.487297610060224</v>
      </c>
      <c r="L19" s="137">
        <f t="shared" si="7"/>
        <v>1.9895196601282805E-13</v>
      </c>
    </row>
  </sheetData>
  <mergeCells count="1">
    <mergeCell ref="F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topLeftCell="A16" zoomScale="90" zoomScaleNormal="90" workbookViewId="0">
      <selection activeCell="R36" sqref="R36"/>
    </sheetView>
  </sheetViews>
  <sheetFormatPr defaultRowHeight="15" x14ac:dyDescent="0.25"/>
  <cols>
    <col min="1" max="4" width="9.140625" style="4"/>
    <col min="5" max="5" width="12.5703125" style="4" bestFit="1" customWidth="1"/>
    <col min="6" max="16384" width="9.140625" style="4"/>
  </cols>
  <sheetData>
    <row r="2" spans="2:16" x14ac:dyDescent="0.25">
      <c r="B2" s="1"/>
    </row>
    <row r="3" spans="2:16" x14ac:dyDescent="0.25">
      <c r="B3" s="1"/>
    </row>
    <row r="4" spans="2:16" x14ac:dyDescent="0.25">
      <c r="B4" s="1"/>
      <c r="D4" s="172" t="s">
        <v>70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2:16" x14ac:dyDescent="0.25">
      <c r="B5" s="1"/>
      <c r="D5" s="172" t="s">
        <v>71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2:16" x14ac:dyDescent="0.25">
      <c r="B6" s="1"/>
    </row>
    <row r="7" spans="2:16" x14ac:dyDescent="0.25">
      <c r="B7" s="1"/>
    </row>
    <row r="8" spans="2:16" x14ac:dyDescent="0.25">
      <c r="B8" s="1"/>
    </row>
    <row r="9" spans="2:16" x14ac:dyDescent="0.25">
      <c r="B9" s="1"/>
    </row>
    <row r="10" spans="2:16" x14ac:dyDescent="0.25">
      <c r="B10" s="1"/>
    </row>
    <row r="11" spans="2:16" x14ac:dyDescent="0.25">
      <c r="B11" s="1"/>
    </row>
    <row r="12" spans="2:16" x14ac:dyDescent="0.25">
      <c r="B12" s="1"/>
    </row>
    <row r="13" spans="2:16" x14ac:dyDescent="0.25">
      <c r="B13" s="1"/>
    </row>
  </sheetData>
  <mergeCells count="2">
    <mergeCell ref="D4:P4"/>
    <mergeCell ref="D5:P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2"/>
  <sheetViews>
    <sheetView workbookViewId="0">
      <selection activeCell="G23" sqref="G23"/>
    </sheetView>
  </sheetViews>
  <sheetFormatPr defaultRowHeight="12" x14ac:dyDescent="0.2"/>
  <cols>
    <col min="1" max="1" width="2" style="1" customWidth="1"/>
    <col min="2" max="16384" width="9.140625" style="1"/>
  </cols>
  <sheetData>
    <row r="12" spans="2:2" ht="44.25" x14ac:dyDescent="0.6">
      <c r="B12" s="10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1" sqref="D11"/>
    </sheetView>
  </sheetViews>
  <sheetFormatPr defaultRowHeight="12" outlineLevelRow="1" x14ac:dyDescent="0.2"/>
  <cols>
    <col min="1" max="1" width="2" style="1" customWidth="1"/>
    <col min="2" max="2" width="19.85546875" style="1" customWidth="1"/>
    <col min="3" max="4" width="10.85546875" style="1" customWidth="1"/>
    <col min="5" max="5" width="1.5703125" style="1" customWidth="1"/>
    <col min="6" max="6" width="20.42578125" style="1" bestFit="1" customWidth="1"/>
    <col min="7" max="8" width="11.42578125" style="1" customWidth="1"/>
    <col min="9" max="16384" width="9.140625" style="1"/>
  </cols>
  <sheetData>
    <row r="1" spans="2:8" ht="15.75" x14ac:dyDescent="0.25">
      <c r="B1" s="2" t="s">
        <v>47</v>
      </c>
      <c r="C1" s="2"/>
    </row>
    <row r="3" spans="2:8" x14ac:dyDescent="0.2">
      <c r="B3" s="173"/>
      <c r="C3" s="173"/>
      <c r="D3" s="173"/>
      <c r="E3" s="173"/>
      <c r="F3" s="173"/>
      <c r="G3" s="173"/>
      <c r="H3" s="173"/>
    </row>
    <row r="4" spans="2:8" ht="24.75" thickBot="1" x14ac:dyDescent="0.25">
      <c r="B4" s="37" t="s">
        <v>0</v>
      </c>
      <c r="C4" s="103" t="s">
        <v>66</v>
      </c>
      <c r="D4" s="103" t="s">
        <v>65</v>
      </c>
      <c r="E4" s="38"/>
      <c r="F4" s="104" t="s">
        <v>1</v>
      </c>
      <c r="G4" s="103" t="s">
        <v>66</v>
      </c>
      <c r="H4" s="103" t="s">
        <v>65</v>
      </c>
    </row>
    <row r="5" spans="2:8" x14ac:dyDescent="0.2">
      <c r="B5" s="111" t="s">
        <v>13</v>
      </c>
      <c r="C5" s="11">
        <v>43000000</v>
      </c>
      <c r="D5" s="42">
        <v>65000000</v>
      </c>
      <c r="F5" s="1" t="s">
        <v>22</v>
      </c>
      <c r="G5" s="11">
        <v>27500000</v>
      </c>
      <c r="H5" s="42">
        <v>20000000</v>
      </c>
    </row>
    <row r="6" spans="2:8" x14ac:dyDescent="0.2">
      <c r="B6" s="112" t="s">
        <v>17</v>
      </c>
      <c r="C6" s="11">
        <v>48000000</v>
      </c>
      <c r="D6" s="43">
        <v>32000000</v>
      </c>
      <c r="F6" s="1" t="s">
        <v>16</v>
      </c>
      <c r="G6" s="11">
        <v>5000000</v>
      </c>
      <c r="H6" s="43">
        <v>0</v>
      </c>
    </row>
    <row r="7" spans="2:8" x14ac:dyDescent="0.2">
      <c r="B7" s="112" t="s">
        <v>23</v>
      </c>
      <c r="C7" s="11">
        <v>31000000</v>
      </c>
      <c r="D7" s="43">
        <v>18000000</v>
      </c>
      <c r="F7" s="1" t="s">
        <v>27</v>
      </c>
      <c r="G7" s="11">
        <v>26170000</v>
      </c>
      <c r="H7" s="43">
        <v>15000000</v>
      </c>
    </row>
    <row r="8" spans="2:8" x14ac:dyDescent="0.2">
      <c r="B8" s="112"/>
      <c r="C8" s="11"/>
      <c r="D8" s="43"/>
      <c r="G8" s="11"/>
      <c r="H8" s="43"/>
    </row>
    <row r="9" spans="2:8" x14ac:dyDescent="0.2">
      <c r="B9" s="112"/>
      <c r="C9" s="11"/>
      <c r="D9" s="43"/>
      <c r="F9" s="1" t="s">
        <v>26</v>
      </c>
      <c r="G9" s="11">
        <v>140000000</v>
      </c>
      <c r="H9" s="43">
        <v>140000000</v>
      </c>
    </row>
    <row r="10" spans="2:8" x14ac:dyDescent="0.2">
      <c r="B10" s="112"/>
      <c r="C10" s="53"/>
      <c r="D10" s="43"/>
      <c r="F10" s="52" t="s">
        <v>1</v>
      </c>
      <c r="G10" s="53">
        <f>SUM(G5:G9)</f>
        <v>198670000</v>
      </c>
      <c r="H10" s="106">
        <f>SUM(H5:H9)</f>
        <v>175000000</v>
      </c>
    </row>
    <row r="11" spans="2:8" x14ac:dyDescent="0.2">
      <c r="B11" s="112" t="s">
        <v>18</v>
      </c>
      <c r="C11" s="11">
        <v>166670000</v>
      </c>
      <c r="D11" s="43">
        <v>150000000</v>
      </c>
      <c r="F11" s="52"/>
      <c r="G11" s="53"/>
      <c r="H11" s="106"/>
    </row>
    <row r="12" spans="2:8" x14ac:dyDescent="0.2">
      <c r="B12" s="112" t="s">
        <v>30</v>
      </c>
      <c r="C12" s="47">
        <v>0</v>
      </c>
      <c r="D12" s="44">
        <v>0</v>
      </c>
      <c r="F12" s="46"/>
      <c r="G12" s="47"/>
      <c r="H12" s="107"/>
    </row>
    <row r="13" spans="2:8" x14ac:dyDescent="0.2">
      <c r="B13" s="112"/>
      <c r="C13" s="54"/>
      <c r="D13" s="44"/>
      <c r="F13" s="52" t="s">
        <v>12</v>
      </c>
      <c r="G13" s="54">
        <v>90000000</v>
      </c>
      <c r="H13" s="108">
        <v>90000000</v>
      </c>
    </row>
    <row r="14" spans="2:8" x14ac:dyDescent="0.2">
      <c r="B14" s="112"/>
      <c r="C14" s="12"/>
      <c r="D14" s="44"/>
      <c r="G14" s="12"/>
      <c r="H14" s="109"/>
    </row>
    <row r="15" spans="2:8" ht="12.75" thickBot="1" x14ac:dyDescent="0.25">
      <c r="B15" s="113" t="s">
        <v>44</v>
      </c>
      <c r="C15" s="105">
        <f>SUM(C5:C14)</f>
        <v>288670000</v>
      </c>
      <c r="D15" s="45">
        <f>SUM(D11,D5:D7)</f>
        <v>265000000</v>
      </c>
      <c r="E15" s="40"/>
      <c r="F15" s="40" t="s">
        <v>45</v>
      </c>
      <c r="G15" s="41">
        <f>SUM(G13,G10)</f>
        <v>288670000</v>
      </c>
      <c r="H15" s="110">
        <f>SUM(H13,H10)</f>
        <v>265000000</v>
      </c>
    </row>
    <row r="16" spans="2:8" x14ac:dyDescent="0.2">
      <c r="D16" s="36"/>
      <c r="E16" s="14"/>
      <c r="H16" s="12"/>
    </row>
    <row r="17" spans="2:11" x14ac:dyDescent="0.2">
      <c r="D17" s="27"/>
      <c r="H17" s="12"/>
    </row>
    <row r="18" spans="2:11" s="48" customFormat="1" ht="10.5" hidden="1" outlineLevel="1" x14ac:dyDescent="0.15">
      <c r="B18" s="49" t="s">
        <v>46</v>
      </c>
      <c r="C18" s="49"/>
      <c r="D18" s="51">
        <f>D15-H15</f>
        <v>0</v>
      </c>
      <c r="E18" s="49"/>
      <c r="F18" s="49"/>
      <c r="G18" s="49"/>
      <c r="H18" s="50"/>
    </row>
    <row r="19" spans="2:11" ht="15" collapsed="1" x14ac:dyDescent="0.25">
      <c r="K19" s="4"/>
    </row>
    <row r="20" spans="2:11" ht="15" x14ac:dyDescent="0.25">
      <c r="K20" s="4"/>
    </row>
    <row r="21" spans="2:11" ht="15" x14ac:dyDescent="0.25">
      <c r="K21" s="4"/>
    </row>
    <row r="22" spans="2:11" ht="15" x14ac:dyDescent="0.25">
      <c r="K22" s="4"/>
    </row>
    <row r="23" spans="2:11" ht="15" x14ac:dyDescent="0.25">
      <c r="K23" s="4"/>
    </row>
    <row r="24" spans="2:11" ht="15" x14ac:dyDescent="0.25">
      <c r="K24" s="4"/>
    </row>
    <row r="25" spans="2:11" ht="15" x14ac:dyDescent="0.25">
      <c r="K25" s="4"/>
    </row>
    <row r="26" spans="2:11" ht="15" x14ac:dyDescent="0.25">
      <c r="K26" s="4"/>
    </row>
    <row r="27" spans="2:11" ht="15" x14ac:dyDescent="0.25">
      <c r="K27" s="4"/>
    </row>
    <row r="28" spans="2:11" ht="15" x14ac:dyDescent="0.25">
      <c r="K28" s="4"/>
    </row>
    <row r="29" spans="2:11" ht="15" x14ac:dyDescent="0.25">
      <c r="K29" s="4"/>
    </row>
    <row r="30" spans="2:11" ht="15" x14ac:dyDescent="0.25">
      <c r="K30" s="4"/>
    </row>
    <row r="31" spans="2:11" ht="15" x14ac:dyDescent="0.25">
      <c r="K31" s="4"/>
    </row>
    <row r="32" spans="2:11" ht="15" x14ac:dyDescent="0.25">
      <c r="K32" s="4"/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workbookViewId="0">
      <selection activeCell="G32" sqref="G32"/>
    </sheetView>
  </sheetViews>
  <sheetFormatPr defaultRowHeight="12" x14ac:dyDescent="0.2"/>
  <cols>
    <col min="1" max="1" width="2" style="29" customWidth="1"/>
    <col min="2" max="2" width="26.28515625" style="29" customWidth="1"/>
    <col min="3" max="3" width="14.7109375" style="29" customWidth="1"/>
    <col min="4" max="4" width="14.140625" style="29" bestFit="1" customWidth="1"/>
    <col min="5" max="16384" width="9.140625" style="29"/>
  </cols>
  <sheetData>
    <row r="1" spans="2:18" ht="15.75" x14ac:dyDescent="0.25">
      <c r="B1" s="28" t="s">
        <v>38</v>
      </c>
      <c r="C1" s="28"/>
    </row>
    <row r="3" spans="2:18" ht="12.75" thickBot="1" x14ac:dyDescent="0.25">
      <c r="B3" s="96" t="s">
        <v>40</v>
      </c>
      <c r="C3" s="97" t="s">
        <v>67</v>
      </c>
      <c r="D3" s="97" t="s">
        <v>61</v>
      </c>
    </row>
    <row r="4" spans="2:18" x14ac:dyDescent="0.2">
      <c r="B4" s="30" t="s">
        <v>53</v>
      </c>
      <c r="C4" s="31">
        <v>363881.20929999999</v>
      </c>
      <c r="D4" s="31">
        <v>455746.18100000004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2:18" x14ac:dyDescent="0.2">
      <c r="B5" s="30" t="s">
        <v>52</v>
      </c>
      <c r="C5" s="31">
        <v>2000</v>
      </c>
      <c r="D5" s="31">
        <v>2000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x14ac:dyDescent="0.2">
      <c r="B6" s="100" t="s">
        <v>59</v>
      </c>
      <c r="C6" s="101">
        <f>+SUM(C4:C5)</f>
        <v>365881.20929999999</v>
      </c>
      <c r="D6" s="101">
        <f>+SUM(D4:D5)</f>
        <v>457746.18100000004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2:18" x14ac:dyDescent="0.2">
      <c r="B7" s="30" t="s">
        <v>34</v>
      </c>
      <c r="C7" s="31">
        <v>-267080.35853000003</v>
      </c>
      <c r="D7" s="31">
        <v>-297495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2:18" x14ac:dyDescent="0.2">
      <c r="B8" s="100" t="s">
        <v>35</v>
      </c>
      <c r="C8" s="101">
        <f>SUM(C6:C7)</f>
        <v>98800.850769999961</v>
      </c>
      <c r="D8" s="101">
        <f>SUM(D6:D7)</f>
        <v>160251.18100000004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2:18" x14ac:dyDescent="0.2">
      <c r="B9" s="32" t="s">
        <v>20</v>
      </c>
      <c r="C9" s="31">
        <v>-12375.000000000002</v>
      </c>
      <c r="D9" s="31">
        <v>-12375.000000000002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2:18" x14ac:dyDescent="0.2">
      <c r="B10" s="32" t="s">
        <v>19</v>
      </c>
      <c r="C10" s="31">
        <v>-5929.0000000000009</v>
      </c>
      <c r="D10" s="31">
        <v>-6050.0000000000009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2:18" x14ac:dyDescent="0.2">
      <c r="B11" s="32" t="s">
        <v>24</v>
      </c>
      <c r="C11" s="31">
        <v>-2707.25</v>
      </c>
      <c r="D11" s="31">
        <v>-3570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2:18" x14ac:dyDescent="0.2">
      <c r="B12" s="32" t="s">
        <v>25</v>
      </c>
      <c r="C12" s="31">
        <v>-11875</v>
      </c>
      <c r="D12" s="31">
        <v>-19000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x14ac:dyDescent="0.2">
      <c r="B13" s="32" t="s">
        <v>58</v>
      </c>
      <c r="C13" s="31">
        <v>-32760</v>
      </c>
      <c r="D13" s="31">
        <v>-42000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x14ac:dyDescent="0.2">
      <c r="B14" s="100" t="s">
        <v>42</v>
      </c>
      <c r="C14" s="101">
        <f>SUM(C8:C13)</f>
        <v>33154.600769999961</v>
      </c>
      <c r="D14" s="101">
        <f>SUM(D8:D13)</f>
        <v>77256.181000000041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2:18" x14ac:dyDescent="0.2">
      <c r="B15" s="30" t="s">
        <v>36</v>
      </c>
      <c r="C15" s="31">
        <v>-16500</v>
      </c>
      <c r="D15" s="31">
        <v>-15000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2:18" x14ac:dyDescent="0.2">
      <c r="B16" s="100" t="s">
        <v>60</v>
      </c>
      <c r="C16" s="101">
        <f>SUM(C14:C15)</f>
        <v>16654.600769999961</v>
      </c>
      <c r="D16" s="101">
        <f>SUM(D14:D15)</f>
        <v>62256.181000000041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x14ac:dyDescent="0.2">
      <c r="B17" s="32" t="s">
        <v>29</v>
      </c>
      <c r="C17" s="31">
        <v>-6720</v>
      </c>
      <c r="D17" s="31">
        <v>-5600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2:18" x14ac:dyDescent="0.2">
      <c r="B18" s="30" t="s">
        <v>41</v>
      </c>
      <c r="C18" s="31">
        <v>0</v>
      </c>
      <c r="D18" s="31">
        <v>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18" x14ac:dyDescent="0.2">
      <c r="B19" s="100" t="s">
        <v>39</v>
      </c>
      <c r="C19" s="101">
        <f>SUM(C16:C18)</f>
        <v>9934.6007699999609</v>
      </c>
      <c r="D19" s="101">
        <f>SUM(D16:D18)</f>
        <v>56656.181000000041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2:18" x14ac:dyDescent="0.2">
      <c r="B20" s="30" t="s">
        <v>72</v>
      </c>
      <c r="C20" s="31">
        <v>-2541.706500000003</v>
      </c>
      <c r="D20" s="31">
        <v>-8498.427150000005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18" ht="12.75" thickBot="1" x14ac:dyDescent="0.25">
      <c r="B21" s="98" t="s">
        <v>37</v>
      </c>
      <c r="C21" s="99">
        <f>SUM(C19:C20)</f>
        <v>7392.8942699999579</v>
      </c>
      <c r="D21" s="99">
        <f>SUM(D19:D20)</f>
        <v>48157.753850000037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18" x14ac:dyDescent="0.2"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2:18" x14ac:dyDescent="0.2">
      <c r="B23" s="32"/>
      <c r="C23" s="32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18" x14ac:dyDescent="0.2">
      <c r="B24" s="32"/>
      <c r="C24" s="32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18" x14ac:dyDescent="0.2">
      <c r="B25" s="32"/>
      <c r="C25" s="32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2">
      <c r="B26" s="32"/>
      <c r="C26" s="32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2:18" x14ac:dyDescent="0.2"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x14ac:dyDescent="0.2"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x14ac:dyDescent="0.2">
      <c r="B29" s="32"/>
      <c r="C29" s="32"/>
      <c r="D29" s="34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2:18" x14ac:dyDescent="0.2">
      <c r="B30" s="32"/>
      <c r="C30" s="32"/>
      <c r="D30" s="35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2:18" x14ac:dyDescent="0.2">
      <c r="B31" s="32"/>
      <c r="C31" s="32"/>
      <c r="D31" s="35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2:18" x14ac:dyDescent="0.2">
      <c r="B32" s="32"/>
      <c r="C32" s="32"/>
      <c r="D32" s="3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2:18" x14ac:dyDescent="0.2">
      <c r="B33" s="32"/>
      <c r="C33" s="32"/>
      <c r="D33" s="35"/>
    </row>
    <row r="34" spans="2:18" x14ac:dyDescent="0.2">
      <c r="B34" s="32"/>
      <c r="C34" s="32"/>
      <c r="D34" s="35"/>
    </row>
    <row r="35" spans="2:18" x14ac:dyDescent="0.2">
      <c r="B35" s="32"/>
      <c r="C35" s="32"/>
      <c r="D35" s="35"/>
    </row>
    <row r="36" spans="2:18" x14ac:dyDescent="0.2">
      <c r="B36" s="32"/>
      <c r="C36" s="32"/>
      <c r="D36" s="32"/>
    </row>
    <row r="37" spans="2:18" x14ac:dyDescent="0.2">
      <c r="B37" s="32"/>
      <c r="C37" s="32"/>
      <c r="D37" s="32"/>
    </row>
    <row r="38" spans="2:18" x14ac:dyDescent="0.2">
      <c r="B38" s="32"/>
      <c r="C38" s="32"/>
      <c r="D38" s="32"/>
    </row>
    <row r="39" spans="2:18" x14ac:dyDescent="0.2">
      <c r="B39" s="32"/>
      <c r="C39" s="32"/>
      <c r="D39" s="32"/>
    </row>
    <row r="40" spans="2:18" x14ac:dyDescent="0.2">
      <c r="B40" s="32"/>
      <c r="C40" s="32"/>
      <c r="D40" s="32"/>
    </row>
    <row r="41" spans="2:18" x14ac:dyDescent="0.2">
      <c r="B41" s="32"/>
      <c r="C41" s="32"/>
      <c r="D41" s="32"/>
      <c r="R41" s="29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2"/>
  <sheetViews>
    <sheetView workbookViewId="0"/>
  </sheetViews>
  <sheetFormatPr defaultRowHeight="12" x14ac:dyDescent="0.2"/>
  <cols>
    <col min="1" max="1" width="2" style="1" customWidth="1"/>
    <col min="2" max="16384" width="9.140625" style="1"/>
  </cols>
  <sheetData>
    <row r="12" spans="2:2" ht="44.25" x14ac:dyDescent="0.6">
      <c r="B12" s="102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>
      <selection activeCell="F31" sqref="F31"/>
    </sheetView>
  </sheetViews>
  <sheetFormatPr defaultRowHeight="12" x14ac:dyDescent="0.2"/>
  <cols>
    <col min="1" max="1" width="2" style="1" customWidth="1"/>
    <col min="2" max="2" width="14.85546875" style="1" customWidth="1"/>
    <col min="3" max="3" width="18.5703125" style="1" customWidth="1"/>
    <col min="4" max="4" width="17.7109375" style="1" customWidth="1"/>
    <col min="5" max="5" width="13.28515625" style="1" customWidth="1"/>
    <col min="6" max="6" width="13.85546875" style="1" customWidth="1"/>
    <col min="7" max="7" width="2.42578125" style="1" customWidth="1"/>
    <col min="8" max="8" width="18" style="1" bestFit="1" customWidth="1"/>
    <col min="9" max="9" width="21.7109375" style="1" bestFit="1" customWidth="1"/>
    <col min="10" max="10" width="19.28515625" style="1" bestFit="1" customWidth="1"/>
    <col min="11" max="11" width="15.28515625" style="1" bestFit="1" customWidth="1"/>
    <col min="12" max="12" width="13.85546875" style="1" customWidth="1"/>
    <col min="13" max="16384" width="9.140625" style="1"/>
  </cols>
  <sheetData>
    <row r="1" spans="2:12" ht="15.75" x14ac:dyDescent="0.25">
      <c r="B1" s="2" t="s">
        <v>3</v>
      </c>
      <c r="C1" s="2"/>
    </row>
    <row r="2" spans="2:12" ht="3.75" customHeight="1" x14ac:dyDescent="0.2"/>
    <row r="3" spans="2:12" x14ac:dyDescent="0.2">
      <c r="B3" s="174" t="s">
        <v>4</v>
      </c>
      <c r="C3" s="174"/>
      <c r="D3" s="174"/>
      <c r="E3" s="174"/>
      <c r="F3" s="174"/>
      <c r="G3" s="5"/>
      <c r="H3" s="174" t="s">
        <v>5</v>
      </c>
      <c r="I3" s="174"/>
      <c r="J3" s="174"/>
      <c r="K3" s="174"/>
      <c r="L3" s="174"/>
    </row>
    <row r="4" spans="2:12" ht="12.75" thickBot="1" x14ac:dyDescent="0.25">
      <c r="B4" s="6" t="s">
        <v>51</v>
      </c>
      <c r="C4" s="6" t="s">
        <v>6</v>
      </c>
      <c r="D4" s="6" t="s">
        <v>14</v>
      </c>
      <c r="E4" s="7" t="s">
        <v>7</v>
      </c>
      <c r="F4" s="7" t="s">
        <v>8</v>
      </c>
      <c r="G4" s="76"/>
      <c r="H4" s="6" t="s">
        <v>51</v>
      </c>
      <c r="I4" s="6" t="s">
        <v>6</v>
      </c>
      <c r="J4" s="6" t="s">
        <v>15</v>
      </c>
      <c r="K4" s="7" t="s">
        <v>7</v>
      </c>
      <c r="L4" s="7" t="s">
        <v>8</v>
      </c>
    </row>
    <row r="5" spans="2:12" x14ac:dyDescent="0.2">
      <c r="B5" s="17" t="s">
        <v>73</v>
      </c>
      <c r="C5" s="1" t="s">
        <v>12</v>
      </c>
      <c r="E5" s="75"/>
      <c r="F5" s="74">
        <v>30000000</v>
      </c>
      <c r="H5" s="17" t="s">
        <v>74</v>
      </c>
      <c r="I5" s="1" t="s">
        <v>36</v>
      </c>
      <c r="K5" s="75">
        <f>0.1*150000000+(80000000-5000000)/15</f>
        <v>20000000</v>
      </c>
      <c r="L5" s="74"/>
    </row>
    <row r="6" spans="2:12" x14ac:dyDescent="0.2">
      <c r="B6" s="17" t="s">
        <v>73</v>
      </c>
      <c r="C6" s="1" t="s">
        <v>13</v>
      </c>
      <c r="E6" s="74">
        <v>30000000</v>
      </c>
      <c r="F6" s="75"/>
      <c r="H6" s="17" t="s">
        <v>76</v>
      </c>
      <c r="I6" s="1" t="s">
        <v>20</v>
      </c>
      <c r="K6" s="74">
        <v>12500000</v>
      </c>
      <c r="L6" s="74"/>
    </row>
    <row r="7" spans="2:12" x14ac:dyDescent="0.2">
      <c r="B7" s="17" t="s">
        <v>74</v>
      </c>
      <c r="C7" s="1" t="s">
        <v>75</v>
      </c>
      <c r="E7" s="75">
        <v>80000000</v>
      </c>
      <c r="F7" s="75"/>
      <c r="H7" s="17" t="s">
        <v>77</v>
      </c>
      <c r="I7" s="1" t="s">
        <v>19</v>
      </c>
      <c r="K7" s="74">
        <v>5500000</v>
      </c>
    </row>
    <row r="8" spans="2:12" x14ac:dyDescent="0.2">
      <c r="B8" s="17" t="s">
        <v>74</v>
      </c>
      <c r="C8" s="1" t="s">
        <v>13</v>
      </c>
      <c r="E8" s="75"/>
      <c r="F8" s="75">
        <v>80000000</v>
      </c>
      <c r="H8" s="17" t="s">
        <v>78</v>
      </c>
      <c r="I8" s="1" t="s">
        <v>79</v>
      </c>
      <c r="L8" s="74">
        <f>E13+E14</f>
        <v>524449000</v>
      </c>
    </row>
    <row r="9" spans="2:12" x14ac:dyDescent="0.2">
      <c r="B9" s="17" t="s">
        <v>74</v>
      </c>
      <c r="C9" s="1" t="s">
        <v>75</v>
      </c>
      <c r="E9" s="75"/>
      <c r="F9" s="75">
        <f>0.1*150000000+(80000000-5000000)/15</f>
        <v>20000000</v>
      </c>
      <c r="H9" s="81">
        <v>7</v>
      </c>
      <c r="I9" s="1" t="s">
        <v>34</v>
      </c>
      <c r="K9" s="74">
        <v>32450000</v>
      </c>
    </row>
    <row r="10" spans="2:12" x14ac:dyDescent="0.2">
      <c r="B10" s="17" t="s">
        <v>76</v>
      </c>
      <c r="C10" s="1" t="s">
        <v>16</v>
      </c>
      <c r="E10" s="75"/>
      <c r="F10" s="75">
        <v>2500000</v>
      </c>
      <c r="H10" s="17" t="s">
        <v>82</v>
      </c>
      <c r="I10" s="30" t="s">
        <v>34</v>
      </c>
      <c r="K10" s="74">
        <v>238000000</v>
      </c>
      <c r="L10" s="74"/>
    </row>
    <row r="11" spans="2:12" x14ac:dyDescent="0.2">
      <c r="B11" s="17" t="s">
        <v>76</v>
      </c>
      <c r="C11" s="1" t="s">
        <v>13</v>
      </c>
      <c r="F11" s="75">
        <v>10000000</v>
      </c>
      <c r="H11" s="17" t="s">
        <v>83</v>
      </c>
      <c r="I11" s="1" t="s">
        <v>52</v>
      </c>
      <c r="K11" s="74"/>
      <c r="L11" s="74">
        <v>2000000</v>
      </c>
    </row>
    <row r="12" spans="2:12" x14ac:dyDescent="0.2">
      <c r="B12" s="17" t="s">
        <v>77</v>
      </c>
      <c r="C12" s="1" t="s">
        <v>13</v>
      </c>
      <c r="F12" s="75">
        <v>5500000</v>
      </c>
      <c r="H12" s="17" t="s">
        <v>84</v>
      </c>
      <c r="I12" s="1" t="s">
        <v>24</v>
      </c>
      <c r="K12" s="74">
        <v>35000000</v>
      </c>
      <c r="L12" s="11"/>
    </row>
    <row r="13" spans="2:12" x14ac:dyDescent="0.2">
      <c r="B13" s="17" t="s">
        <v>78</v>
      </c>
      <c r="C13" s="1" t="s">
        <v>13</v>
      </c>
      <c r="E13" s="75">
        <f>524449000-15485000</f>
        <v>508964000</v>
      </c>
      <c r="F13" s="75"/>
      <c r="H13" s="17" t="s">
        <v>85</v>
      </c>
      <c r="I13" s="1" t="s">
        <v>25</v>
      </c>
      <c r="K13" s="74">
        <v>10000000</v>
      </c>
      <c r="L13" s="11"/>
    </row>
    <row r="14" spans="2:12" x14ac:dyDescent="0.2">
      <c r="B14" s="17" t="s">
        <v>78</v>
      </c>
      <c r="C14" s="1" t="s">
        <v>91</v>
      </c>
      <c r="E14" s="74">
        <f>15485000</f>
        <v>15485000</v>
      </c>
      <c r="H14" s="17" t="s">
        <v>87</v>
      </c>
      <c r="I14" s="1" t="s">
        <v>29</v>
      </c>
      <c r="K14" s="74">
        <f>0.04*140000000</f>
        <v>5600000</v>
      </c>
      <c r="L14" s="11"/>
    </row>
    <row r="15" spans="2:12" x14ac:dyDescent="0.2">
      <c r="B15" s="17" t="s">
        <v>80</v>
      </c>
      <c r="C15" s="1" t="s">
        <v>13</v>
      </c>
      <c r="E15" s="75"/>
      <c r="F15" s="75">
        <v>230000000</v>
      </c>
      <c r="H15" s="17" t="s">
        <v>88</v>
      </c>
      <c r="I15" s="1" t="s">
        <v>106</v>
      </c>
      <c r="K15" s="74">
        <v>3000000</v>
      </c>
      <c r="L15" s="11"/>
    </row>
    <row r="16" spans="2:12" x14ac:dyDescent="0.2">
      <c r="B16" s="17" t="s">
        <v>80</v>
      </c>
      <c r="C16" s="1" t="s">
        <v>22</v>
      </c>
      <c r="E16" s="75"/>
      <c r="F16" s="75">
        <v>10000000</v>
      </c>
      <c r="H16" s="17" t="s">
        <v>89</v>
      </c>
      <c r="I16" s="1" t="s">
        <v>86</v>
      </c>
      <c r="K16" s="74">
        <v>35000000</v>
      </c>
      <c r="L16" s="11"/>
    </row>
    <row r="17" spans="2:12" x14ac:dyDescent="0.2">
      <c r="B17" s="17" t="s">
        <v>80</v>
      </c>
      <c r="C17" s="1" t="s">
        <v>17</v>
      </c>
      <c r="E17" s="75">
        <v>240000000</v>
      </c>
      <c r="F17" s="75"/>
      <c r="H17" s="17" t="s">
        <v>90</v>
      </c>
      <c r="I17" s="1" t="s">
        <v>72</v>
      </c>
      <c r="K17" s="74">
        <f>F30</f>
        <v>19409850</v>
      </c>
      <c r="L17" s="11"/>
    </row>
    <row r="18" spans="2:12" x14ac:dyDescent="0.2">
      <c r="B18" s="17" t="s">
        <v>81</v>
      </c>
      <c r="C18" s="1" t="s">
        <v>13</v>
      </c>
      <c r="E18" s="75"/>
      <c r="F18" s="75">
        <v>32450000</v>
      </c>
      <c r="H18" s="17"/>
      <c r="K18" s="11"/>
      <c r="L18" s="11"/>
    </row>
    <row r="19" spans="2:12" x14ac:dyDescent="0.2">
      <c r="B19" s="17" t="s">
        <v>82</v>
      </c>
      <c r="C19" s="1" t="s">
        <v>17</v>
      </c>
      <c r="E19" s="75"/>
      <c r="F19" s="75">
        <f>E17-34000000+'Historical BS'!D6</f>
        <v>238000000</v>
      </c>
      <c r="H19" s="17"/>
      <c r="K19" s="11"/>
      <c r="L19" s="11"/>
    </row>
    <row r="20" spans="2:12" x14ac:dyDescent="0.2">
      <c r="B20" s="17" t="s">
        <v>83</v>
      </c>
      <c r="C20" s="1" t="s">
        <v>13</v>
      </c>
      <c r="E20" s="75">
        <v>2000000</v>
      </c>
      <c r="F20" s="75"/>
      <c r="H20" s="17"/>
      <c r="K20" s="11"/>
      <c r="L20" s="11"/>
    </row>
    <row r="21" spans="2:12" x14ac:dyDescent="0.2">
      <c r="B21" s="17" t="s">
        <v>84</v>
      </c>
      <c r="C21" s="1" t="s">
        <v>13</v>
      </c>
      <c r="F21" s="75">
        <v>35000000</v>
      </c>
      <c r="K21" s="11"/>
      <c r="L21" s="11"/>
    </row>
    <row r="22" spans="2:12" x14ac:dyDescent="0.2">
      <c r="B22" s="17" t="s">
        <v>85</v>
      </c>
      <c r="C22" s="17" t="s">
        <v>13</v>
      </c>
      <c r="E22" s="75"/>
      <c r="F22" s="75">
        <v>9500000</v>
      </c>
      <c r="L22" s="11"/>
    </row>
    <row r="23" spans="2:12" x14ac:dyDescent="0.2">
      <c r="B23" s="17" t="s">
        <v>85</v>
      </c>
      <c r="C23" s="17" t="s">
        <v>22</v>
      </c>
      <c r="E23" s="75"/>
      <c r="F23" s="75">
        <v>500000</v>
      </c>
      <c r="L23" s="11"/>
    </row>
    <row r="24" spans="2:12" x14ac:dyDescent="0.2">
      <c r="B24" s="17" t="s">
        <v>87</v>
      </c>
      <c r="C24" s="17" t="s">
        <v>13</v>
      </c>
      <c r="E24" s="75"/>
      <c r="F24" s="75">
        <v>5600000</v>
      </c>
      <c r="L24" s="11"/>
    </row>
    <row r="25" spans="2:12" x14ac:dyDescent="0.2">
      <c r="B25" s="17" t="s">
        <v>87</v>
      </c>
      <c r="C25" s="17" t="s">
        <v>26</v>
      </c>
      <c r="E25" s="75">
        <v>20000000</v>
      </c>
      <c r="F25" s="75"/>
      <c r="H25" s="17"/>
      <c r="L25" s="11"/>
    </row>
    <row r="26" spans="2:12" x14ac:dyDescent="0.2">
      <c r="B26" s="17" t="s">
        <v>87</v>
      </c>
      <c r="C26" s="17" t="s">
        <v>13</v>
      </c>
      <c r="E26" s="75"/>
      <c r="F26" s="75">
        <v>20000000</v>
      </c>
      <c r="L26" s="11"/>
    </row>
    <row r="27" spans="2:12" x14ac:dyDescent="0.2">
      <c r="B27" s="17" t="s">
        <v>88</v>
      </c>
      <c r="C27" s="17" t="s">
        <v>41</v>
      </c>
      <c r="E27" s="75"/>
      <c r="F27" s="75">
        <v>3000000</v>
      </c>
    </row>
    <row r="28" spans="2:12" x14ac:dyDescent="0.2">
      <c r="B28" s="17" t="s">
        <v>89</v>
      </c>
      <c r="C28" s="17" t="s">
        <v>13</v>
      </c>
      <c r="E28" s="75"/>
      <c r="F28" s="75">
        <v>30000000</v>
      </c>
    </row>
    <row r="29" spans="2:12" x14ac:dyDescent="0.2">
      <c r="B29" s="17" t="s">
        <v>89</v>
      </c>
      <c r="C29" s="17" t="s">
        <v>27</v>
      </c>
      <c r="F29" s="75">
        <v>5000000</v>
      </c>
    </row>
    <row r="30" spans="2:12" x14ac:dyDescent="0.2">
      <c r="B30" s="17" t="s">
        <v>90</v>
      </c>
      <c r="C30" s="1" t="s">
        <v>27</v>
      </c>
      <c r="F30" s="75">
        <f>15%*'P&amp;L 2015'!C19*1000</f>
        <v>19409850</v>
      </c>
    </row>
    <row r="31" spans="2:12" x14ac:dyDescent="0.2">
      <c r="B31" s="17"/>
      <c r="F31" s="12"/>
    </row>
    <row r="32" spans="2:12" x14ac:dyDescent="0.2">
      <c r="B32" s="17"/>
    </row>
    <row r="33" spans="2:9" x14ac:dyDescent="0.2">
      <c r="B33" s="17"/>
    </row>
    <row r="34" spans="2:9" x14ac:dyDescent="0.2">
      <c r="E34" s="27"/>
      <c r="F34" s="27"/>
    </row>
    <row r="35" spans="2:9" x14ac:dyDescent="0.2">
      <c r="F35" s="27"/>
    </row>
    <row r="41" spans="2:9" x14ac:dyDescent="0.2">
      <c r="H41" s="77" t="s">
        <v>54</v>
      </c>
      <c r="I41" s="78">
        <f>SUM(E5:E63)+SUM(K5:K24)</f>
        <v>1312908850</v>
      </c>
    </row>
    <row r="42" spans="2:9" x14ac:dyDescent="0.2">
      <c r="H42" s="77" t="s">
        <v>55</v>
      </c>
      <c r="I42" s="78">
        <f>SUM(F5:F63)+SUM(L5:L24)</f>
        <v>1312908850</v>
      </c>
    </row>
    <row r="43" spans="2:9" x14ac:dyDescent="0.2">
      <c r="H43" s="17"/>
    </row>
    <row r="44" spans="2:9" x14ac:dyDescent="0.2">
      <c r="H44" s="79" t="s">
        <v>56</v>
      </c>
      <c r="I44" s="80">
        <f>I41-I42</f>
        <v>0</v>
      </c>
    </row>
  </sheetData>
  <mergeCells count="2">
    <mergeCell ref="B3:F3"/>
    <mergeCell ref="H3:L3"/>
  </mergeCells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0"/>
  <sheetViews>
    <sheetView zoomScale="90" zoomScaleNormal="90" workbookViewId="0">
      <selection activeCell="Q17" sqref="Q17"/>
    </sheetView>
  </sheetViews>
  <sheetFormatPr defaultRowHeight="12" x14ac:dyDescent="0.2"/>
  <cols>
    <col min="1" max="1" width="2" style="1" customWidth="1"/>
    <col min="2" max="2" width="3.85546875" style="1" customWidth="1"/>
    <col min="3" max="3" width="19.5703125" style="1" bestFit="1" customWidth="1"/>
    <col min="4" max="4" width="16.28515625" style="1" bestFit="1" customWidth="1"/>
    <col min="5" max="7" width="4.140625" style="1" customWidth="1"/>
    <col min="8" max="8" width="21" style="1" bestFit="1" customWidth="1"/>
    <col min="9" max="9" width="12.7109375" style="1" customWidth="1"/>
    <col min="10" max="10" width="8.5703125" style="14" customWidth="1"/>
    <col min="11" max="11" width="5.28515625" style="1" customWidth="1"/>
    <col min="12" max="12" width="18.140625" style="1" bestFit="1" customWidth="1"/>
    <col min="13" max="13" width="17.5703125" style="1" customWidth="1"/>
    <col min="14" max="14" width="7.85546875" style="1" customWidth="1"/>
    <col min="15" max="15" width="4.140625" style="1" customWidth="1"/>
    <col min="16" max="16" width="17.42578125" style="1" bestFit="1" customWidth="1"/>
    <col min="17" max="17" width="16.42578125" style="1" bestFit="1" customWidth="1"/>
    <col min="18" max="18" width="17.140625" style="1" bestFit="1" customWidth="1"/>
    <col min="19" max="16384" width="9.140625" style="1"/>
  </cols>
  <sheetData>
    <row r="1" spans="1:18" ht="15.75" x14ac:dyDescent="0.25">
      <c r="B1" s="2" t="s">
        <v>2</v>
      </c>
      <c r="J1" s="1"/>
    </row>
    <row r="2" spans="1:18" ht="3.75" customHeight="1" x14ac:dyDescent="0.2">
      <c r="A2" s="1">
        <v>1</v>
      </c>
      <c r="J2" s="1"/>
    </row>
    <row r="3" spans="1:18" x14ac:dyDescent="0.2">
      <c r="B3" s="174" t="s">
        <v>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2.75" thickBot="1" x14ac:dyDescent="0.25"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10" t="s">
        <v>9</v>
      </c>
    </row>
    <row r="5" spans="1:18" ht="3.75" customHeight="1" x14ac:dyDescent="0.2">
      <c r="J5" s="56"/>
    </row>
    <row r="6" spans="1:18" ht="15" customHeight="1" x14ac:dyDescent="0.2">
      <c r="B6" s="18"/>
      <c r="C6" s="176" t="s">
        <v>18</v>
      </c>
      <c r="D6" s="176"/>
      <c r="E6" s="65"/>
      <c r="F6" s="65"/>
      <c r="G6" s="18"/>
      <c r="H6" s="175" t="s">
        <v>23</v>
      </c>
      <c r="I6" s="175"/>
      <c r="J6" s="56"/>
      <c r="K6" s="18"/>
      <c r="L6" s="176" t="s">
        <v>16</v>
      </c>
      <c r="M6" s="176"/>
      <c r="N6" s="17"/>
      <c r="O6" s="18"/>
      <c r="P6" s="175" t="s">
        <v>26</v>
      </c>
      <c r="Q6" s="175"/>
      <c r="R6" s="17"/>
    </row>
    <row r="7" spans="1:18" x14ac:dyDescent="0.2">
      <c r="B7" s="18"/>
      <c r="C7" s="70">
        <f>'Debits &amp; Credits'!E7</f>
        <v>80000000</v>
      </c>
      <c r="D7" s="69">
        <f>'Debits &amp; Credits'!F9</f>
        <v>20000000</v>
      </c>
      <c r="E7" s="20"/>
      <c r="F7" s="20"/>
      <c r="G7" s="18"/>
      <c r="H7" s="70">
        <f>'Debits &amp; Credits'!E14</f>
        <v>15485000</v>
      </c>
      <c r="I7" s="57"/>
      <c r="J7" s="56"/>
      <c r="K7" s="18"/>
      <c r="L7" s="73"/>
      <c r="M7" s="131">
        <f>'Debits &amp; Credits'!F10</f>
        <v>2500000</v>
      </c>
      <c r="N7" s="17"/>
      <c r="O7" s="18"/>
      <c r="P7" s="66">
        <f>'Debits &amp; Credits'!E25</f>
        <v>20000000</v>
      </c>
      <c r="Q7" s="57">
        <f>'Historical BS'!H9</f>
        <v>140000000</v>
      </c>
      <c r="R7" s="17"/>
    </row>
    <row r="8" spans="1:18" x14ac:dyDescent="0.2">
      <c r="B8" s="18"/>
      <c r="C8" s="70">
        <f>'Historical BS'!D11</f>
        <v>150000000</v>
      </c>
      <c r="D8" s="57"/>
      <c r="E8" s="64"/>
      <c r="F8" s="64"/>
      <c r="G8" s="18"/>
      <c r="H8" s="70">
        <f>'Historical BS'!D7</f>
        <v>18000000</v>
      </c>
      <c r="I8" s="69"/>
      <c r="J8" s="3"/>
      <c r="K8" s="18"/>
      <c r="L8" s="70"/>
      <c r="M8" s="69"/>
      <c r="N8" s="17"/>
      <c r="O8" s="18"/>
      <c r="P8" s="70"/>
      <c r="Q8" s="69"/>
      <c r="R8" s="17"/>
    </row>
    <row r="9" spans="1:18" x14ac:dyDescent="0.2">
      <c r="B9" s="18"/>
      <c r="C9" s="70"/>
      <c r="D9" s="57"/>
      <c r="E9" s="64"/>
      <c r="F9" s="64"/>
      <c r="G9" s="18"/>
      <c r="H9" s="70"/>
      <c r="I9" s="57"/>
      <c r="J9" s="3"/>
      <c r="K9" s="18"/>
      <c r="L9" s="117"/>
      <c r="M9" s="57"/>
      <c r="N9" s="17"/>
      <c r="O9" s="18"/>
      <c r="P9" s="117"/>
      <c r="Q9" s="57"/>
      <c r="R9" s="64"/>
    </row>
    <row r="10" spans="1:18" x14ac:dyDescent="0.2">
      <c r="B10" s="18"/>
      <c r="C10" s="130">
        <f>SUM(C7:C9)</f>
        <v>230000000</v>
      </c>
      <c r="D10" s="130">
        <f>SUM(D7:D9)</f>
        <v>20000000</v>
      </c>
      <c r="E10" s="64"/>
      <c r="F10" s="64"/>
      <c r="G10" s="18"/>
      <c r="H10" s="130">
        <f>SUM(H7:H9)</f>
        <v>33485000</v>
      </c>
      <c r="I10" s="130">
        <f>SUM(I7:I9)</f>
        <v>0</v>
      </c>
      <c r="J10" s="3"/>
      <c r="K10" s="18"/>
      <c r="L10" s="148" t="str">
        <f>"Total "&amp;L6</f>
        <v>Total Employee Payables</v>
      </c>
      <c r="M10" s="148">
        <f>SUM(M7:M8)-SUM(L7:L8)</f>
        <v>2500000</v>
      </c>
      <c r="N10" s="17"/>
      <c r="O10" s="18"/>
      <c r="P10" s="148" t="str">
        <f>"Total "&amp;P6</f>
        <v>Total Debt</v>
      </c>
      <c r="Q10" s="148">
        <f>SUM(Q7:Q8)-SUM(P7:P8)</f>
        <v>120000000</v>
      </c>
      <c r="R10" s="64"/>
    </row>
    <row r="11" spans="1:18" x14ac:dyDescent="0.2">
      <c r="B11" s="18"/>
      <c r="E11" s="64"/>
      <c r="F11" s="64"/>
      <c r="G11" s="64"/>
      <c r="J11" s="3"/>
      <c r="K11" s="18"/>
      <c r="L11" s="22"/>
      <c r="M11" s="22"/>
      <c r="N11" s="17"/>
      <c r="P11" s="14"/>
      <c r="Q11" s="14"/>
      <c r="R11" s="14"/>
    </row>
    <row r="12" spans="1:18" x14ac:dyDescent="0.2">
      <c r="B12" s="18"/>
      <c r="C12" s="148" t="str">
        <f>"Total "&amp;C6</f>
        <v>Total Fixed Assets</v>
      </c>
      <c r="D12" s="148">
        <f>C10-D10</f>
        <v>210000000</v>
      </c>
      <c r="E12" s="64"/>
      <c r="F12" s="64"/>
      <c r="G12" s="64"/>
      <c r="H12" s="148" t="str">
        <f>"Total "&amp;H6</f>
        <v>Total Accounts Receivable</v>
      </c>
      <c r="I12" s="148">
        <f>H10-I10</f>
        <v>33485000</v>
      </c>
      <c r="J12" s="3"/>
      <c r="K12" s="18"/>
      <c r="L12" s="22"/>
      <c r="M12" s="22"/>
      <c r="N12" s="17"/>
      <c r="P12" s="14"/>
      <c r="Q12" s="14"/>
      <c r="R12" s="14"/>
    </row>
    <row r="13" spans="1:18" x14ac:dyDescent="0.2">
      <c r="B13" s="18"/>
      <c r="C13" s="22"/>
      <c r="D13" s="22"/>
      <c r="E13" s="64"/>
      <c r="F13" s="64"/>
      <c r="G13" s="64"/>
      <c r="H13" s="64"/>
      <c r="I13" s="64"/>
      <c r="J13" s="3"/>
      <c r="K13" s="18"/>
      <c r="L13" s="22"/>
      <c r="M13" s="22"/>
      <c r="N13" s="17"/>
      <c r="P13" s="14"/>
      <c r="Q13" s="14"/>
      <c r="R13" s="14"/>
    </row>
    <row r="14" spans="1:18" x14ac:dyDescent="0.2">
      <c r="B14" s="18"/>
      <c r="C14" s="22"/>
      <c r="D14" s="22"/>
      <c r="E14" s="64"/>
      <c r="F14" s="64"/>
      <c r="G14" s="64"/>
      <c r="H14" s="64"/>
      <c r="I14" s="64"/>
      <c r="J14" s="3"/>
      <c r="K14" s="18"/>
      <c r="L14" s="22"/>
      <c r="M14" s="22"/>
      <c r="N14" s="17"/>
      <c r="P14" s="14"/>
      <c r="Q14" s="14"/>
      <c r="R14" s="14"/>
    </row>
    <row r="15" spans="1:18" x14ac:dyDescent="0.2">
      <c r="B15" s="18"/>
      <c r="C15" s="22"/>
      <c r="D15" s="22"/>
      <c r="E15" s="64"/>
      <c r="F15" s="64"/>
      <c r="G15" s="64"/>
      <c r="H15" s="64"/>
      <c r="I15" s="64"/>
      <c r="J15" s="3"/>
      <c r="K15" s="18"/>
      <c r="L15" s="22"/>
      <c r="M15" s="22"/>
      <c r="N15" s="17"/>
      <c r="P15" s="14"/>
      <c r="Q15" s="14"/>
      <c r="R15" s="14"/>
    </row>
    <row r="16" spans="1:18" x14ac:dyDescent="0.2">
      <c r="B16" s="18"/>
      <c r="C16" s="175" t="s">
        <v>32</v>
      </c>
      <c r="D16" s="175"/>
      <c r="E16" s="64"/>
      <c r="F16" s="64"/>
      <c r="G16" s="18"/>
      <c r="H16" s="175" t="s">
        <v>13</v>
      </c>
      <c r="I16" s="175"/>
      <c r="J16" s="56"/>
      <c r="K16" s="18"/>
      <c r="L16" s="175" t="s">
        <v>22</v>
      </c>
      <c r="M16" s="175"/>
      <c r="N16" s="17"/>
      <c r="P16" s="175" t="s">
        <v>27</v>
      </c>
      <c r="Q16" s="175"/>
      <c r="R16" s="17"/>
    </row>
    <row r="17" spans="2:18" x14ac:dyDescent="0.2">
      <c r="B17" s="18"/>
      <c r="C17" s="70">
        <f>'Debits &amp; Credits'!E17</f>
        <v>240000000</v>
      </c>
      <c r="D17" s="57">
        <f>'Debits &amp; Credits'!F19</f>
        <v>238000000</v>
      </c>
      <c r="E17" s="64"/>
      <c r="F17" s="64"/>
      <c r="G17" s="18"/>
      <c r="H17" s="70">
        <f>'Debits &amp; Credits'!E6</f>
        <v>30000000</v>
      </c>
      <c r="I17" s="57">
        <f>'Debits &amp; Credits'!F8</f>
        <v>80000000</v>
      </c>
      <c r="J17" s="56"/>
      <c r="K17" s="18"/>
      <c r="L17" s="19"/>
      <c r="M17" s="57">
        <f>'Debits &amp; Credits'!F16</f>
        <v>10000000</v>
      </c>
      <c r="N17" s="17"/>
      <c r="P17" s="19"/>
      <c r="Q17" s="57">
        <f>'Debits &amp; Credits'!F30</f>
        <v>19409850</v>
      </c>
      <c r="R17" s="17"/>
    </row>
    <row r="18" spans="2:18" x14ac:dyDescent="0.2">
      <c r="B18" s="18"/>
      <c r="C18" s="70">
        <f>'Historical BS'!D6</f>
        <v>32000000</v>
      </c>
      <c r="D18" s="57"/>
      <c r="E18" s="64"/>
      <c r="F18" s="64"/>
      <c r="G18" s="18"/>
      <c r="H18" s="70">
        <f>'Historical BS'!D5</f>
        <v>65000000</v>
      </c>
      <c r="I18" s="57">
        <f>'Debits &amp; Credits'!F11</f>
        <v>10000000</v>
      </c>
      <c r="J18" s="56"/>
      <c r="K18" s="18"/>
      <c r="L18" s="21"/>
      <c r="M18" s="57">
        <f>'Historical BS'!H5</f>
        <v>20000000</v>
      </c>
      <c r="N18" s="17"/>
      <c r="P18" s="21"/>
      <c r="Q18" s="69">
        <f>'Debits &amp; Credits'!F29</f>
        <v>5000000</v>
      </c>
      <c r="R18" s="17"/>
    </row>
    <row r="19" spans="2:18" x14ac:dyDescent="0.2">
      <c r="B19" s="18"/>
      <c r="C19" s="70"/>
      <c r="D19" s="69"/>
      <c r="E19" s="64"/>
      <c r="F19" s="64"/>
      <c r="G19" s="18"/>
      <c r="H19" s="70"/>
      <c r="I19" s="57">
        <f>'Debits &amp; Credits'!F12</f>
        <v>5500000</v>
      </c>
      <c r="J19" s="56"/>
      <c r="K19" s="18"/>
      <c r="L19" s="23"/>
      <c r="M19" s="57">
        <f>'Debits &amp; Credits'!F23</f>
        <v>500000</v>
      </c>
      <c r="N19" s="17"/>
      <c r="P19" s="23"/>
      <c r="Q19" s="27">
        <f>'Historical BS'!H7</f>
        <v>15000000</v>
      </c>
      <c r="R19" s="17"/>
    </row>
    <row r="20" spans="2:18" x14ac:dyDescent="0.2">
      <c r="B20" s="18"/>
      <c r="C20" s="70"/>
      <c r="D20" s="115"/>
      <c r="E20" s="64"/>
      <c r="F20" s="64"/>
      <c r="G20" s="18"/>
      <c r="H20" s="70">
        <f>'Debits &amp; Credits'!E13</f>
        <v>508964000</v>
      </c>
      <c r="I20" s="57">
        <f>'Debits &amp; Credits'!F15</f>
        <v>230000000</v>
      </c>
      <c r="J20" s="56"/>
      <c r="K20" s="18"/>
      <c r="L20" s="71"/>
      <c r="M20" s="57"/>
      <c r="N20" s="17"/>
      <c r="P20" s="3"/>
      <c r="Q20" s="69"/>
      <c r="R20" s="17"/>
    </row>
    <row r="21" spans="2:18" x14ac:dyDescent="0.2">
      <c r="B21" s="18"/>
      <c r="C21" s="130">
        <f>SUM(C17:C20)</f>
        <v>272000000</v>
      </c>
      <c r="D21" s="130">
        <f>SUM(D17:D20)</f>
        <v>238000000</v>
      </c>
      <c r="E21" s="64"/>
      <c r="F21" s="64"/>
      <c r="G21" s="18"/>
      <c r="H21" s="70">
        <f>'Debits &amp; Credits'!E20</f>
        <v>2000000</v>
      </c>
      <c r="I21" s="57">
        <f>'Debits &amp; Credits'!F18</f>
        <v>32450000</v>
      </c>
      <c r="J21" s="56"/>
      <c r="K21" s="18"/>
      <c r="L21" s="57"/>
      <c r="M21" s="57"/>
      <c r="N21" s="17"/>
      <c r="P21" s="117"/>
      <c r="Q21" s="57"/>
      <c r="R21" s="64"/>
    </row>
    <row r="22" spans="2:18" x14ac:dyDescent="0.2">
      <c r="B22" s="18"/>
      <c r="E22" s="64"/>
      <c r="F22" s="64"/>
      <c r="G22" s="18"/>
      <c r="H22" s="70"/>
      <c r="I22" s="57">
        <f>'Debits &amp; Credits'!F21</f>
        <v>35000000</v>
      </c>
      <c r="J22" s="56"/>
      <c r="L22" s="148" t="str">
        <f>"Total "&amp;L16</f>
        <v>Total Trade Payables</v>
      </c>
      <c r="M22" s="148">
        <f>SUM(M17:M20)-SUM(L17:L20)</f>
        <v>30500000</v>
      </c>
      <c r="N22" s="17"/>
      <c r="P22" s="148" t="str">
        <f>"Total "&amp;P16</f>
        <v>Total Other Liabilities</v>
      </c>
      <c r="Q22" s="148">
        <f>SUM(Q17:Q20)-SUM(P17:P20)</f>
        <v>39409850</v>
      </c>
      <c r="R22" s="64"/>
    </row>
    <row r="23" spans="2:18" ht="15" x14ac:dyDescent="0.25">
      <c r="C23" s="148" t="str">
        <f>"Total "&amp;C16</f>
        <v>Total Inventory</v>
      </c>
      <c r="D23" s="148">
        <f>C21-D21</f>
        <v>34000000</v>
      </c>
      <c r="E23" s="64"/>
      <c r="F23" s="64"/>
      <c r="G23" s="18"/>
      <c r="H23" s="70"/>
      <c r="I23" s="57">
        <f>'Debits &amp; Credits'!F22</f>
        <v>9500000</v>
      </c>
      <c r="J23" s="56"/>
      <c r="Q23" s="4"/>
    </row>
    <row r="24" spans="2:18" ht="15" x14ac:dyDescent="0.25">
      <c r="E24" s="64"/>
      <c r="F24" s="64"/>
      <c r="G24" s="18"/>
      <c r="H24" s="70"/>
      <c r="I24" s="57">
        <f>'Debits &amp; Credits'!F24</f>
        <v>5600000</v>
      </c>
      <c r="J24" s="56"/>
      <c r="Q24" s="4"/>
    </row>
    <row r="25" spans="2:18" x14ac:dyDescent="0.2">
      <c r="F25" s="64"/>
      <c r="G25" s="18"/>
      <c r="H25" s="70"/>
      <c r="I25" s="57">
        <f>'Debits &amp; Credits'!F26</f>
        <v>20000000</v>
      </c>
      <c r="J25" s="56"/>
      <c r="K25" s="18"/>
      <c r="P25" s="175" t="s">
        <v>12</v>
      </c>
      <c r="Q25" s="175"/>
      <c r="R25" s="17"/>
    </row>
    <row r="26" spans="2:18" x14ac:dyDescent="0.2">
      <c r="F26" s="64"/>
      <c r="G26" s="18"/>
      <c r="H26" s="70"/>
      <c r="I26" s="57">
        <f>'Debits &amp; Credits'!F28</f>
        <v>30000000</v>
      </c>
      <c r="J26" s="56"/>
      <c r="K26" s="18"/>
      <c r="L26" s="175" t="s">
        <v>30</v>
      </c>
      <c r="M26" s="175"/>
      <c r="N26" s="17"/>
      <c r="P26" s="19"/>
      <c r="Q26" s="57">
        <f>'Debits &amp; Credits'!F5</f>
        <v>30000000</v>
      </c>
      <c r="R26" s="17"/>
    </row>
    <row r="27" spans="2:18" x14ac:dyDescent="0.2">
      <c r="F27" s="64"/>
      <c r="G27" s="18"/>
      <c r="H27" s="114"/>
      <c r="I27" s="57"/>
      <c r="J27" s="56"/>
      <c r="K27" s="18"/>
      <c r="L27" s="145"/>
      <c r="M27" s="144"/>
      <c r="N27" s="17"/>
      <c r="P27" s="21"/>
      <c r="Q27" s="57">
        <f>'Historical BS'!H13</f>
        <v>90000000</v>
      </c>
      <c r="R27" s="17"/>
    </row>
    <row r="28" spans="2:18" x14ac:dyDescent="0.2">
      <c r="B28" s="18"/>
      <c r="F28" s="64"/>
      <c r="G28" s="18"/>
      <c r="H28" s="117">
        <f>SUM(H17:H26)</f>
        <v>605964000</v>
      </c>
      <c r="I28" s="57">
        <f>SUM(I17:I26)</f>
        <v>458050000</v>
      </c>
      <c r="J28" s="56"/>
      <c r="K28" s="18"/>
      <c r="L28" s="146"/>
      <c r="M28" s="27">
        <f>'Debits &amp; Credits'!F27</f>
        <v>3000000</v>
      </c>
      <c r="N28" s="17"/>
      <c r="P28" s="21"/>
      <c r="Q28" s="57">
        <f>'P&amp;L 2015'!C21*1000</f>
        <v>109989150</v>
      </c>
      <c r="R28" s="17"/>
    </row>
    <row r="29" spans="2:18" x14ac:dyDescent="0.2">
      <c r="B29" s="18"/>
      <c r="F29" s="64"/>
      <c r="H29" s="117"/>
      <c r="I29" s="14"/>
      <c r="J29" s="3"/>
      <c r="K29" s="18"/>
      <c r="L29" s="21"/>
      <c r="M29" s="69"/>
      <c r="N29" s="17"/>
      <c r="P29" s="119"/>
      <c r="Q29" s="57"/>
      <c r="R29" s="14"/>
    </row>
    <row r="30" spans="2:18" x14ac:dyDescent="0.2">
      <c r="H30" s="148" t="str">
        <f>"Total "&amp;H16</f>
        <v>Total Cash</v>
      </c>
      <c r="I30" s="148">
        <f>H28-I28</f>
        <v>147914000</v>
      </c>
      <c r="J30" s="3"/>
      <c r="L30" s="114"/>
      <c r="M30" s="115"/>
      <c r="N30" s="64"/>
      <c r="P30" s="117"/>
      <c r="Q30" s="57"/>
      <c r="R30" s="14"/>
    </row>
    <row r="31" spans="2:18" x14ac:dyDescent="0.2">
      <c r="H31" s="58"/>
      <c r="I31" s="118"/>
      <c r="J31" s="3"/>
      <c r="K31" s="18"/>
      <c r="L31" s="148" t="str">
        <f>"Total "&amp;L26</f>
        <v>Total Provision</v>
      </c>
      <c r="M31" s="148">
        <f>SUM(M28:M29)-SUM(L28:L29)</f>
        <v>3000000</v>
      </c>
      <c r="N31" s="64"/>
      <c r="P31" s="148" t="str">
        <f>"Total "&amp;P25</f>
        <v>Total Equity</v>
      </c>
      <c r="Q31" s="148">
        <f>SUM(Q26:Q29)-SUM(P26:P29)</f>
        <v>229989150</v>
      </c>
      <c r="R31" s="14"/>
    </row>
    <row r="32" spans="2:18" ht="15" x14ac:dyDescent="0.25">
      <c r="J32" s="3"/>
      <c r="K32" s="18"/>
      <c r="P32" s="14"/>
      <c r="Q32" s="120"/>
      <c r="R32" s="14"/>
    </row>
    <row r="33" spans="2:18" ht="15" x14ac:dyDescent="0.25">
      <c r="J33" s="3"/>
      <c r="K33" s="18"/>
      <c r="Q33" s="4"/>
    </row>
    <row r="34" spans="2:18" ht="12.75" thickBot="1" x14ac:dyDescent="0.25">
      <c r="B34" s="40" t="s">
        <v>44</v>
      </c>
      <c r="C34" s="40"/>
      <c r="D34" s="68"/>
      <c r="E34" s="40"/>
      <c r="F34" s="40"/>
      <c r="G34" s="40"/>
      <c r="H34" s="40"/>
      <c r="I34" s="68">
        <f>SUM(D23,D12,I12,I30)</f>
        <v>425399000</v>
      </c>
      <c r="J34" s="40"/>
      <c r="K34" s="67"/>
      <c r="L34" s="40"/>
      <c r="M34" s="40"/>
      <c r="N34" s="40"/>
      <c r="O34" s="40"/>
      <c r="P34" s="40"/>
      <c r="Q34" s="40" t="s">
        <v>50</v>
      </c>
      <c r="R34" s="68">
        <f>SUM(M10,Q10,M22,Q22,M31,Q31)</f>
        <v>425399000</v>
      </c>
    </row>
    <row r="35" spans="2:18" x14ac:dyDescent="0.2">
      <c r="G35" s="64"/>
      <c r="H35" s="64"/>
      <c r="I35" s="64"/>
      <c r="K35" s="18"/>
      <c r="L35" s="55"/>
      <c r="M35" s="22"/>
      <c r="N35" s="17"/>
    </row>
    <row r="36" spans="2:18" x14ac:dyDescent="0.2">
      <c r="G36" s="64"/>
      <c r="H36" s="64"/>
      <c r="I36" s="64"/>
    </row>
    <row r="37" spans="2:18" x14ac:dyDescent="0.2">
      <c r="G37" s="64"/>
      <c r="H37" s="64"/>
      <c r="I37" s="64"/>
    </row>
    <row r="38" spans="2:18" x14ac:dyDescent="0.2">
      <c r="G38" s="64"/>
      <c r="H38" s="64"/>
      <c r="I38" s="64"/>
    </row>
    <row r="39" spans="2:18" x14ac:dyDescent="0.2">
      <c r="G39" s="64"/>
      <c r="H39" s="64"/>
      <c r="I39" s="64"/>
    </row>
    <row r="40" spans="2:18" x14ac:dyDescent="0.2">
      <c r="G40" s="64"/>
      <c r="H40" s="64"/>
      <c r="I40" s="64"/>
    </row>
    <row r="41" spans="2:18" x14ac:dyDescent="0.2">
      <c r="G41" s="64"/>
      <c r="H41" s="64"/>
      <c r="I41" s="64"/>
      <c r="L41" s="20"/>
      <c r="M41" s="20"/>
      <c r="N41" s="17"/>
    </row>
    <row r="1048570" spans="3:3" x14ac:dyDescent="0.2">
      <c r="C1048570" s="70"/>
    </row>
  </sheetData>
  <mergeCells count="11">
    <mergeCell ref="B3:R3"/>
    <mergeCell ref="H16:I16"/>
    <mergeCell ref="P16:Q16"/>
    <mergeCell ref="L26:M26"/>
    <mergeCell ref="P25:Q25"/>
    <mergeCell ref="C6:D6"/>
    <mergeCell ref="C16:D16"/>
    <mergeCell ref="H6:I6"/>
    <mergeCell ref="P6:Q6"/>
    <mergeCell ref="L6:M6"/>
    <mergeCell ref="L16:M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90" zoomScaleNormal="90" workbookViewId="0">
      <selection activeCell="O20" sqref="O20"/>
    </sheetView>
  </sheetViews>
  <sheetFormatPr defaultRowHeight="12" x14ac:dyDescent="0.2"/>
  <cols>
    <col min="1" max="1" width="2" style="1" customWidth="1"/>
    <col min="2" max="2" width="9.140625" style="1"/>
    <col min="3" max="3" width="9.7109375" style="1" bestFit="1" customWidth="1"/>
    <col min="4" max="4" width="17.42578125" style="81" bestFit="1" customWidth="1"/>
    <col min="5" max="5" width="12.28515625" style="93" bestFit="1" customWidth="1"/>
    <col min="6" max="6" width="4.42578125" style="1" customWidth="1"/>
    <col min="7" max="7" width="3.28515625" style="1" customWidth="1"/>
    <col min="8" max="8" width="17.42578125" style="81" bestFit="1" customWidth="1"/>
    <col min="9" max="9" width="11.7109375" style="86" customWidth="1"/>
    <col min="10" max="10" width="9.85546875" style="1" customWidth="1"/>
    <col min="11" max="11" width="4.28515625" style="1" customWidth="1"/>
    <col min="12" max="12" width="17.42578125" style="1" bestFit="1" customWidth="1"/>
    <col min="13" max="13" width="9.85546875" style="1" customWidth="1"/>
    <col min="14" max="14" width="3.140625" style="1" customWidth="1"/>
    <col min="15" max="15" width="9.140625" style="1"/>
    <col min="16" max="16" width="14" style="1" customWidth="1"/>
    <col min="17" max="17" width="11.85546875" style="1" bestFit="1" customWidth="1"/>
    <col min="18" max="18" width="7.5703125" style="1" bestFit="1" customWidth="1"/>
    <col min="19" max="16384" width="9.140625" style="1"/>
  </cols>
  <sheetData>
    <row r="1" spans="2:20" ht="15.75" x14ac:dyDescent="0.25">
      <c r="B1" s="2" t="s">
        <v>2</v>
      </c>
    </row>
    <row r="2" spans="2:20" ht="3.75" customHeight="1" x14ac:dyDescent="0.2"/>
    <row r="3" spans="2:20" x14ac:dyDescent="0.2">
      <c r="C3" s="174" t="s">
        <v>5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2:20" ht="12.75" thickBot="1" x14ac:dyDescent="0.25">
      <c r="C4" s="8" t="s">
        <v>10</v>
      </c>
      <c r="D4" s="7"/>
      <c r="E4" s="8"/>
      <c r="F4" s="8"/>
      <c r="G4" s="8"/>
      <c r="H4" s="7"/>
      <c r="I4" s="10"/>
      <c r="J4" s="8"/>
      <c r="K4" s="8"/>
      <c r="L4" s="8"/>
      <c r="M4" s="8"/>
      <c r="N4" s="8"/>
      <c r="O4" s="8"/>
      <c r="P4" s="8"/>
      <c r="Q4" s="7"/>
      <c r="R4" s="7" t="s">
        <v>11</v>
      </c>
    </row>
    <row r="5" spans="2:20" ht="3.75" customHeight="1" x14ac:dyDescent="0.2">
      <c r="N5" s="9"/>
      <c r="O5" s="14"/>
    </row>
    <row r="6" spans="2:20" ht="15" customHeight="1" x14ac:dyDescent="0.2">
      <c r="C6" s="18"/>
      <c r="D6" s="176" t="s">
        <v>21</v>
      </c>
      <c r="E6" s="176"/>
      <c r="F6" s="13"/>
      <c r="G6" s="18"/>
      <c r="H6" s="176" t="s">
        <v>25</v>
      </c>
      <c r="I6" s="176"/>
      <c r="J6" s="13"/>
      <c r="K6" s="18"/>
      <c r="L6" s="177" t="s">
        <v>57</v>
      </c>
      <c r="M6" s="177"/>
      <c r="N6" s="63"/>
      <c r="O6" s="26"/>
      <c r="P6" s="176" t="s">
        <v>53</v>
      </c>
      <c r="Q6" s="176"/>
    </row>
    <row r="7" spans="2:20" x14ac:dyDescent="0.2">
      <c r="C7" s="18"/>
      <c r="D7" s="82">
        <f>'Debits &amp; Credits'!K10</f>
        <v>238000000</v>
      </c>
      <c r="E7" s="94"/>
      <c r="G7" s="18"/>
      <c r="H7" s="85">
        <f>'Debits &amp; Credits'!K13</f>
        <v>10000000</v>
      </c>
      <c r="I7" s="90"/>
      <c r="J7" s="24"/>
      <c r="K7" s="18"/>
      <c r="L7" s="85"/>
      <c r="M7" s="36"/>
      <c r="N7" s="25"/>
      <c r="O7" s="24"/>
      <c r="P7" s="15"/>
      <c r="Q7" s="36">
        <f>'Debits &amp; Credits'!L8</f>
        <v>524449000</v>
      </c>
      <c r="R7" s="17"/>
    </row>
    <row r="8" spans="2:20" x14ac:dyDescent="0.2">
      <c r="C8" s="18"/>
      <c r="D8" s="82">
        <f>'Debits &amp; Credits'!K9</f>
        <v>32450000</v>
      </c>
      <c r="E8" s="94"/>
      <c r="G8" s="18"/>
      <c r="H8" s="82"/>
      <c r="I8" s="91"/>
      <c r="J8" s="24"/>
      <c r="K8" s="18"/>
      <c r="L8" s="82">
        <f>'Debits &amp; Credits'!K16</f>
        <v>35000000</v>
      </c>
      <c r="M8" s="62"/>
      <c r="N8" s="25"/>
      <c r="O8" s="24"/>
      <c r="P8" s="16"/>
      <c r="Q8" s="60"/>
    </row>
    <row r="9" spans="2:20" x14ac:dyDescent="0.2">
      <c r="C9" s="18"/>
      <c r="D9" s="82"/>
      <c r="E9" s="115"/>
      <c r="G9" s="18"/>
      <c r="H9" s="83"/>
      <c r="I9" s="115"/>
      <c r="J9" s="62"/>
      <c r="L9" s="114"/>
      <c r="M9" s="57"/>
      <c r="N9" s="25"/>
      <c r="O9" s="24"/>
      <c r="P9" s="114"/>
      <c r="Q9" s="57"/>
      <c r="R9" s="14"/>
    </row>
    <row r="10" spans="2:20" x14ac:dyDescent="0.2">
      <c r="C10" s="18"/>
      <c r="D10" s="149" t="str">
        <f>"Total "&amp;D6</f>
        <v>Total Cost of Goods Sold</v>
      </c>
      <c r="E10" s="150">
        <f>SUM(D7:D9)-SUM(E7:E9)</f>
        <v>270450000</v>
      </c>
      <c r="G10" s="18"/>
      <c r="H10" s="149" t="str">
        <f>"Total "&amp;H6</f>
        <v>Total Utility Expenses</v>
      </c>
      <c r="I10" s="150">
        <f>SUM(H7:H9)-SUM(I7:I9)</f>
        <v>10000000</v>
      </c>
      <c r="J10" s="62"/>
      <c r="K10" s="24"/>
      <c r="L10" s="149" t="str">
        <f>"Total "&amp;L6</f>
        <v>Total Other Opex</v>
      </c>
      <c r="M10" s="150">
        <f>SUM(L7:L9)-SUM(M7:M9)</f>
        <v>35000000</v>
      </c>
      <c r="N10" s="3"/>
      <c r="O10" s="14"/>
      <c r="P10" s="149" t="str">
        <f>"Total "&amp;P6</f>
        <v>Total Revenue</v>
      </c>
      <c r="Q10" s="150">
        <f>SUM(Q7:Q8)-SUM(P7:P8)</f>
        <v>524449000</v>
      </c>
      <c r="R10" s="14"/>
    </row>
    <row r="11" spans="2:20" x14ac:dyDescent="0.2">
      <c r="C11" s="18"/>
      <c r="D11" s="75"/>
      <c r="E11" s="94"/>
      <c r="F11" s="13"/>
      <c r="G11" s="18"/>
      <c r="H11" s="87"/>
      <c r="I11" s="91"/>
      <c r="J11" s="62"/>
      <c r="K11" s="26"/>
      <c r="L11" s="58"/>
      <c r="M11" s="59"/>
      <c r="N11" s="3"/>
      <c r="O11" s="14"/>
      <c r="P11" s="14"/>
      <c r="Q11" s="14"/>
    </row>
    <row r="12" spans="2:20" x14ac:dyDescent="0.2">
      <c r="C12" s="18"/>
      <c r="D12" s="178" t="s">
        <v>20</v>
      </c>
      <c r="E12" s="178"/>
      <c r="F12" s="17"/>
      <c r="G12" s="18"/>
      <c r="H12" s="177" t="s">
        <v>24</v>
      </c>
      <c r="I12" s="177"/>
      <c r="J12" s="26"/>
      <c r="K12" s="24"/>
      <c r="L12" s="177" t="s">
        <v>28</v>
      </c>
      <c r="M12" s="177"/>
      <c r="N12" s="3"/>
      <c r="O12" s="14"/>
      <c r="P12" s="179" t="s">
        <v>52</v>
      </c>
      <c r="Q12" s="179"/>
    </row>
    <row r="13" spans="2:20" x14ac:dyDescent="0.2">
      <c r="C13" s="18"/>
      <c r="D13" s="82">
        <f>'Debits &amp; Credits'!K6</f>
        <v>12500000</v>
      </c>
      <c r="E13" s="95"/>
      <c r="G13" s="18"/>
      <c r="H13" s="85">
        <f>'Debits &amp; Credits'!K12</f>
        <v>35000000</v>
      </c>
      <c r="I13" s="92"/>
      <c r="J13" s="24"/>
      <c r="K13" s="18"/>
      <c r="L13" s="85">
        <f>'Debits &amp; Credits'!K17</f>
        <v>19409850</v>
      </c>
      <c r="M13" s="36"/>
      <c r="N13" s="3"/>
      <c r="O13" s="14"/>
      <c r="P13" s="15"/>
      <c r="Q13" s="61">
        <f>'Debits &amp; Credits'!L11</f>
        <v>2000000</v>
      </c>
      <c r="R13" s="17"/>
    </row>
    <row r="14" spans="2:20" x14ac:dyDescent="0.2">
      <c r="D14" s="83"/>
      <c r="E14" s="94"/>
      <c r="G14" s="18"/>
      <c r="H14" s="82"/>
      <c r="I14" s="91"/>
      <c r="J14" s="24"/>
      <c r="K14" s="24"/>
      <c r="L14" s="25"/>
      <c r="M14" s="62"/>
      <c r="N14" s="3"/>
      <c r="O14" s="14"/>
      <c r="P14" s="16"/>
      <c r="Q14" s="60"/>
    </row>
    <row r="15" spans="2:20" ht="15" x14ac:dyDescent="0.25">
      <c r="C15" s="18"/>
      <c r="D15" s="83"/>
      <c r="E15" s="115"/>
      <c r="G15" s="18"/>
      <c r="H15" s="83"/>
      <c r="I15" s="57"/>
      <c r="J15" s="24"/>
      <c r="K15" s="24"/>
      <c r="L15" s="114"/>
      <c r="M15" s="57"/>
      <c r="N15" s="3"/>
      <c r="O15" s="14"/>
      <c r="P15" s="114"/>
      <c r="Q15" s="57"/>
      <c r="T15" s="4"/>
    </row>
    <row r="16" spans="2:20" ht="15" x14ac:dyDescent="0.25">
      <c r="C16" s="18"/>
      <c r="D16" s="149" t="str">
        <f>"Total "&amp;D12</f>
        <v>Total Cost of Personnel</v>
      </c>
      <c r="E16" s="150">
        <f>SUM(D13:D15)-SUM(E13:E15)</f>
        <v>12500000</v>
      </c>
      <c r="F16" s="13"/>
      <c r="G16" s="18"/>
      <c r="H16" s="149" t="str">
        <f>"Total "&amp;H12</f>
        <v>Total Logistic Expenses</v>
      </c>
      <c r="I16" s="150">
        <f>SUM(H13:H15)-SUM(I13:I15)</f>
        <v>35000000</v>
      </c>
      <c r="J16" s="24"/>
      <c r="K16" s="26"/>
      <c r="L16" s="149" t="str">
        <f>"Total "&amp;L12</f>
        <v>Total Income Taxes</v>
      </c>
      <c r="M16" s="150">
        <f>SUM(L13:L15)-SUM(M13:M15)</f>
        <v>19409850</v>
      </c>
      <c r="N16" s="3"/>
      <c r="O16" s="14"/>
      <c r="P16" s="149" t="str">
        <f>"Total "&amp;P12</f>
        <v>Total Other Revenue</v>
      </c>
      <c r="Q16" s="150">
        <f>SUM(Q13:Q14)-SUM(P13:P14)</f>
        <v>2000000</v>
      </c>
      <c r="T16" s="4"/>
    </row>
    <row r="17" spans="3:20" ht="15" x14ac:dyDescent="0.25">
      <c r="C17" s="18"/>
      <c r="D17" s="84"/>
      <c r="E17" s="94"/>
      <c r="F17" s="13"/>
      <c r="G17" s="18"/>
      <c r="H17" s="87"/>
      <c r="I17" s="90"/>
      <c r="J17" s="24"/>
      <c r="K17" s="24"/>
      <c r="L17" s="26"/>
      <c r="M17" s="26"/>
      <c r="N17" s="3"/>
      <c r="O17" s="14"/>
      <c r="T17" s="4"/>
    </row>
    <row r="18" spans="3:20" ht="15" x14ac:dyDescent="0.25">
      <c r="C18" s="18"/>
      <c r="D18" s="75"/>
      <c r="E18" s="94"/>
      <c r="G18" s="18"/>
      <c r="H18" s="87"/>
      <c r="I18" s="90"/>
      <c r="J18" s="24"/>
      <c r="K18" s="24"/>
      <c r="L18" s="62"/>
      <c r="M18" s="62"/>
      <c r="N18" s="3"/>
      <c r="O18" s="14"/>
      <c r="T18" s="4"/>
    </row>
    <row r="19" spans="3:20" ht="15" x14ac:dyDescent="0.25">
      <c r="C19" s="18"/>
      <c r="D19" s="178" t="s">
        <v>19</v>
      </c>
      <c r="E19" s="178"/>
      <c r="G19" s="18"/>
      <c r="H19" s="177" t="s">
        <v>31</v>
      </c>
      <c r="I19" s="177"/>
      <c r="J19" s="24"/>
      <c r="K19" s="26"/>
      <c r="L19" s="24"/>
      <c r="M19" s="24"/>
      <c r="N19" s="3"/>
      <c r="O19" s="14"/>
      <c r="T19" s="4"/>
    </row>
    <row r="20" spans="3:20" ht="15" x14ac:dyDescent="0.25">
      <c r="C20" s="18"/>
      <c r="D20" s="85">
        <f>'Debits &amp; Credits'!K7</f>
        <v>5500000</v>
      </c>
      <c r="E20" s="94"/>
      <c r="G20" s="18"/>
      <c r="H20" s="85">
        <f>'Debits &amp; Credits'!K15</f>
        <v>3000000</v>
      </c>
      <c r="I20" s="147"/>
      <c r="J20" s="62"/>
      <c r="K20" s="24"/>
      <c r="L20" s="26"/>
      <c r="M20" s="26"/>
      <c r="N20" s="3"/>
      <c r="O20" s="14"/>
      <c r="T20" s="4"/>
    </row>
    <row r="21" spans="3:20" ht="15" x14ac:dyDescent="0.25">
      <c r="C21" s="18"/>
      <c r="D21" s="70"/>
      <c r="E21" s="115"/>
      <c r="G21" s="18"/>
      <c r="H21" s="70"/>
      <c r="I21" s="57"/>
      <c r="J21" s="24"/>
      <c r="K21" s="26"/>
      <c r="L21" s="24"/>
      <c r="M21" s="24"/>
      <c r="N21" s="3"/>
      <c r="O21" s="14"/>
      <c r="T21" s="4"/>
    </row>
    <row r="22" spans="3:20" ht="15" x14ac:dyDescent="0.25">
      <c r="C22" s="18"/>
      <c r="D22" s="129"/>
      <c r="E22" s="58"/>
      <c r="F22" s="13"/>
      <c r="G22" s="18"/>
      <c r="H22" s="129"/>
      <c r="I22" s="116"/>
      <c r="J22" s="26"/>
      <c r="K22" s="24"/>
      <c r="L22" s="26"/>
      <c r="M22" s="26"/>
      <c r="N22" s="3"/>
      <c r="O22" s="14"/>
      <c r="T22" s="4"/>
    </row>
    <row r="23" spans="3:20" ht="15" x14ac:dyDescent="0.25">
      <c r="C23" s="18"/>
      <c r="D23" s="149" t="str">
        <f>"Total "&amp;D19</f>
        <v>Total Cost of Services</v>
      </c>
      <c r="E23" s="150">
        <f>SUM(D20:D22)-SUM(E20:E22)</f>
        <v>5500000</v>
      </c>
      <c r="F23" s="13"/>
      <c r="G23" s="18"/>
      <c r="H23" s="149" t="str">
        <f>"Total "&amp;H19</f>
        <v>Total Provision for Expenses</v>
      </c>
      <c r="I23" s="150">
        <f>(SUM(H20:H22)-SUM(I20:I22))</f>
        <v>3000000</v>
      </c>
      <c r="J23" s="24"/>
      <c r="K23" s="24"/>
      <c r="L23" s="24"/>
      <c r="M23" s="24"/>
      <c r="N23" s="3"/>
      <c r="O23" s="14"/>
      <c r="T23" s="4"/>
    </row>
    <row r="24" spans="3:20" ht="15" x14ac:dyDescent="0.25">
      <c r="C24" s="18"/>
      <c r="D24" s="75"/>
      <c r="E24" s="94"/>
      <c r="G24" s="18"/>
      <c r="H24" s="88"/>
      <c r="I24" s="90"/>
      <c r="J24" s="24"/>
      <c r="K24" s="24"/>
      <c r="L24" s="24"/>
      <c r="M24" s="24"/>
      <c r="N24" s="3"/>
      <c r="O24" s="14"/>
      <c r="T24" s="4"/>
    </row>
    <row r="25" spans="3:20" ht="15" x14ac:dyDescent="0.25">
      <c r="C25" s="18"/>
      <c r="D25" s="178" t="s">
        <v>29</v>
      </c>
      <c r="E25" s="178"/>
      <c r="G25" s="18"/>
      <c r="H25" s="177" t="s">
        <v>36</v>
      </c>
      <c r="I25" s="177"/>
      <c r="J25" s="26"/>
      <c r="K25" s="24"/>
      <c r="L25" s="24"/>
      <c r="M25" s="24"/>
      <c r="N25" s="3"/>
      <c r="O25" s="14"/>
      <c r="T25" s="4"/>
    </row>
    <row r="26" spans="3:20" ht="15" x14ac:dyDescent="0.25">
      <c r="C26" s="18"/>
      <c r="D26" s="85">
        <f>'Debits &amp; Credits'!K14</f>
        <v>5600000</v>
      </c>
      <c r="E26" s="94"/>
      <c r="F26" s="13"/>
      <c r="G26" s="18"/>
      <c r="H26" s="85">
        <f>'Debits &amp; Credits'!K5</f>
        <v>20000000</v>
      </c>
      <c r="I26" s="90"/>
      <c r="J26" s="24"/>
      <c r="K26" s="24"/>
      <c r="L26" s="24"/>
      <c r="M26" s="24"/>
      <c r="T26" s="4"/>
    </row>
    <row r="27" spans="3:20" ht="15" x14ac:dyDescent="0.25">
      <c r="C27" s="18"/>
      <c r="D27" s="70"/>
      <c r="E27" s="115"/>
      <c r="G27" s="18"/>
      <c r="H27" s="82"/>
      <c r="I27" s="57"/>
      <c r="J27" s="24"/>
      <c r="K27" s="24"/>
      <c r="L27" s="24"/>
      <c r="M27" s="24"/>
      <c r="T27" s="4"/>
    </row>
    <row r="28" spans="3:20" x14ac:dyDescent="0.2">
      <c r="C28" s="18"/>
      <c r="D28" s="129"/>
      <c r="E28" s="58"/>
      <c r="H28" s="114"/>
      <c r="I28" s="72"/>
      <c r="J28" s="62"/>
      <c r="K28" s="24"/>
      <c r="L28" s="24"/>
      <c r="M28" s="24"/>
    </row>
    <row r="29" spans="3:20" x14ac:dyDescent="0.2">
      <c r="C29" s="18"/>
      <c r="D29" s="149" t="str">
        <f>"Total "&amp;D25</f>
        <v>Total Interest Expense</v>
      </c>
      <c r="E29" s="150">
        <f>SUM(D26:D28)-SUM(E26:E28)</f>
        <v>5600000</v>
      </c>
      <c r="F29" s="13"/>
      <c r="G29" s="18"/>
      <c r="H29" s="149" t="str">
        <f>"Total "&amp;H25</f>
        <v>Total D&amp;A</v>
      </c>
      <c r="I29" s="150">
        <f>SUM(H26:H28)-SUM(I26:I28)</f>
        <v>20000000</v>
      </c>
      <c r="J29" s="24"/>
      <c r="L29" s="24"/>
      <c r="M29" s="24"/>
    </row>
    <row r="30" spans="3:20" x14ac:dyDescent="0.2">
      <c r="C30" s="18"/>
      <c r="D30" s="75"/>
      <c r="E30" s="94"/>
      <c r="G30" s="18"/>
      <c r="H30" s="88"/>
      <c r="I30" s="90"/>
      <c r="J30" s="24"/>
      <c r="K30" s="13"/>
    </row>
    <row r="31" spans="3:20" x14ac:dyDescent="0.2">
      <c r="G31" s="18"/>
      <c r="H31" s="88"/>
      <c r="I31" s="90"/>
      <c r="J31" s="24"/>
      <c r="L31" s="13"/>
      <c r="M31" s="13"/>
    </row>
    <row r="32" spans="3:20" x14ac:dyDescent="0.2">
      <c r="F32" s="13"/>
      <c r="G32" s="18"/>
      <c r="H32" s="88"/>
      <c r="I32" s="90"/>
      <c r="J32" s="24"/>
    </row>
    <row r="33" spans="4:13" x14ac:dyDescent="0.2">
      <c r="G33" s="18"/>
      <c r="H33" s="88"/>
      <c r="K33" s="13"/>
    </row>
    <row r="34" spans="4:13" x14ac:dyDescent="0.2">
      <c r="G34" s="18"/>
      <c r="I34" s="72"/>
      <c r="J34" s="13"/>
      <c r="L34" s="13"/>
      <c r="M34" s="13"/>
    </row>
    <row r="35" spans="4:13" x14ac:dyDescent="0.2">
      <c r="D35" s="75"/>
      <c r="E35" s="94"/>
      <c r="F35" s="13"/>
      <c r="H35" s="89"/>
    </row>
    <row r="36" spans="4:13" x14ac:dyDescent="0.2">
      <c r="D36" s="75"/>
      <c r="E36" s="94"/>
    </row>
    <row r="37" spans="4:13" x14ac:dyDescent="0.2">
      <c r="I37" s="72"/>
      <c r="J37" s="13"/>
    </row>
    <row r="38" spans="4:13" x14ac:dyDescent="0.2">
      <c r="G38" s="13"/>
      <c r="H38" s="89"/>
    </row>
  </sheetData>
  <mergeCells count="13">
    <mergeCell ref="C3:R3"/>
    <mergeCell ref="D6:E6"/>
    <mergeCell ref="H6:I6"/>
    <mergeCell ref="H25:I25"/>
    <mergeCell ref="D25:E25"/>
    <mergeCell ref="D12:E12"/>
    <mergeCell ref="H12:I12"/>
    <mergeCell ref="H19:I19"/>
    <mergeCell ref="P6:Q6"/>
    <mergeCell ref="P12:Q12"/>
    <mergeCell ref="L6:M6"/>
    <mergeCell ref="L12:M12"/>
    <mergeCell ref="D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Case Study --&gt;</vt:lpstr>
      <vt:lpstr>Transactions</vt:lpstr>
      <vt:lpstr>Historical Data --&gt;</vt:lpstr>
      <vt:lpstr>Historical BS</vt:lpstr>
      <vt:lpstr>Historical P&amp;L</vt:lpstr>
      <vt:lpstr>2015 Data --&gt;</vt:lpstr>
      <vt:lpstr>Debits &amp; Credits</vt:lpstr>
      <vt:lpstr>T-accounts BS</vt:lpstr>
      <vt:lpstr>T-accounts P&amp;L</vt:lpstr>
      <vt:lpstr>Output --&gt;</vt:lpstr>
      <vt:lpstr>P&amp;L 2015</vt:lpstr>
      <vt:lpstr>BS 2015</vt:lpstr>
      <vt:lpstr>Financial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Gaurav Gupta</cp:lastModifiedBy>
  <dcterms:created xsi:type="dcterms:W3CDTF">2015-12-26T17:11:50Z</dcterms:created>
  <dcterms:modified xsi:type="dcterms:W3CDTF">2018-02-22T21:32:36Z</dcterms:modified>
</cp:coreProperties>
</file>